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0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4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25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26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drawings/drawing27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drawings/drawing30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drawings/drawing31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30.xml" ContentType="application/vnd.openxmlformats-officedocument.themeOverride+xml"/>
  <Override PartName="/xl/drawings/drawing54.xml" ContentType="application/vnd.openxmlformats-officedocument.drawingml.chartshapes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31.xml" ContentType="application/vnd.openxmlformats-officedocument.themeOverride+xml"/>
  <Override PartName="/xl/drawings/drawing55.xml" ContentType="application/vnd.openxmlformats-officedocument.drawingml.chartshapes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32.xml" ContentType="application/vnd.openxmlformats-officedocument.themeOverride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33.xml" ContentType="application/vnd.openxmlformats-officedocument.themeOverride+xml"/>
  <Override PartName="/xl/drawings/drawing59.xml" ContentType="application/vnd.openxmlformats-officedocument.drawingml.chartshapes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34.xml" ContentType="application/vnd.openxmlformats-officedocument.themeOverride+xml"/>
  <Override PartName="/xl/drawings/drawing60.xml" ContentType="application/vnd.openxmlformats-officedocument.drawingml.chartshapes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35.xml" ContentType="application/vnd.openxmlformats-officedocument.themeOverride+xml"/>
  <Override PartName="/xl/drawings/drawing61.xml" ContentType="application/vnd.openxmlformats-officedocument.drawingml.chartshapes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36.xml" ContentType="application/vnd.openxmlformats-officedocument.themeOverride+xml"/>
  <Override PartName="/xl/drawings/drawing62.xml" ContentType="application/vnd.openxmlformats-officedocument.drawingml.chartshapes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37.xml" ContentType="application/vnd.openxmlformats-officedocument.themeOverride+xml"/>
  <Override PartName="/xl/drawings/drawing63.xml" ContentType="application/vnd.openxmlformats-officedocument.drawingml.chartshapes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8.xml" ContentType="application/vnd.openxmlformats-officedocument.themeOverride+xml"/>
  <Override PartName="/xl/drawings/drawing64.xml" ContentType="application/vnd.openxmlformats-officedocument.drawingml.chartshapes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9.xml" ContentType="application/vnd.openxmlformats-officedocument.themeOverride+xml"/>
  <Override PartName="/xl/drawings/drawing65.xml" ContentType="application/vnd.openxmlformats-officedocument.drawingml.chartshapes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40.xml" ContentType="application/vnd.openxmlformats-officedocument.themeOverride+xml"/>
  <Override PartName="/xl/drawings/drawing66.xml" ContentType="application/vnd.openxmlformats-officedocument.drawingml.chartshapes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41.xml" ContentType="application/vnd.openxmlformats-officedocument.themeOverride+xml"/>
  <Override PartName="/xl/drawings/drawing67.xml" ContentType="application/vnd.openxmlformats-officedocument.drawingml.chartshapes+xml"/>
  <Override PartName="/xl/charts/chart42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42.xml" ContentType="application/vnd.openxmlformats-officedocument.themeOverride+xml"/>
  <Override PartName="/xl/drawings/drawing68.xml" ContentType="application/vnd.openxmlformats-officedocument.drawingml.chartshapes+xml"/>
  <Override PartName="/xl/charts/chart4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43.xml" ContentType="application/vnd.openxmlformats-officedocument.themeOverride+xml"/>
  <Override PartName="/xl/drawings/drawing69.xml" ContentType="application/vnd.openxmlformats-officedocument.drawingml.chartshapes+xml"/>
  <Override PartName="/xl/charts/chart4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44.xml" ContentType="application/vnd.openxmlformats-officedocument.themeOverride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4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45.xml" ContentType="application/vnd.openxmlformats-officedocument.themeOverride+xml"/>
  <Override PartName="/xl/drawings/drawing72.xml" ContentType="application/vnd.openxmlformats-officedocument.drawingml.chartshapes+xml"/>
  <Override PartName="/xl/charts/chart4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46.xml" ContentType="application/vnd.openxmlformats-officedocument.themeOverride+xml"/>
  <Override PartName="/xl/drawings/drawing73.xml" ContentType="application/vnd.openxmlformats-officedocument.drawingml.chartshapes+xml"/>
  <Override PartName="/xl/charts/chart4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47.xml" ContentType="application/vnd.openxmlformats-officedocument.themeOverride+xml"/>
  <Override PartName="/xl/drawings/drawing74.xml" ContentType="application/vnd.openxmlformats-officedocument.drawingml.chartshapes+xml"/>
  <Override PartName="/xl/charts/chart4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8.xml" ContentType="application/vnd.openxmlformats-officedocument.themeOverride+xml"/>
  <Override PartName="/xl/drawings/drawing75.xml" ContentType="application/vnd.openxmlformats-officedocument.drawingml.chartshapes+xml"/>
  <Override PartName="/xl/charts/chart4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9.xml" ContentType="application/vnd.openxmlformats-officedocument.themeOverrid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charts/chart5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50.xml" ContentType="application/vnd.openxmlformats-officedocument.themeOverride+xml"/>
  <Override PartName="/xl/drawings/drawing82.xml" ContentType="application/vnd.openxmlformats-officedocument.drawingml.chartshapes+xml"/>
  <Override PartName="/xl/charts/chart5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51.xml" ContentType="application/vnd.openxmlformats-officedocument.themeOverride+xml"/>
  <Override PartName="/xl/drawings/drawing83.xml" ContentType="application/vnd.openxmlformats-officedocument.drawingml.chartshapes+xml"/>
  <Override PartName="/xl/charts/chart5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52.xml" ContentType="application/vnd.openxmlformats-officedocument.themeOverride+xml"/>
  <Override PartName="/xl/drawings/drawing84.xml" ContentType="application/vnd.openxmlformats-officedocument.drawingml.chartshapes+xml"/>
  <Override PartName="/xl/charts/chart53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53.xml" ContentType="application/vnd.openxmlformats-officedocument.themeOverride+xml"/>
  <Override PartName="/xl/drawings/drawing85.xml" ContentType="application/vnd.openxmlformats-officedocument.drawingml.chartshapes+xml"/>
  <Override PartName="/xl/charts/chart5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54.xml" ContentType="application/vnd.openxmlformats-officedocument.themeOverride+xml"/>
  <Override PartName="/xl/drawings/drawing86.xml" ContentType="application/vnd.openxmlformats-officedocument.drawingml.chartshapes+xml"/>
  <Override PartName="/xl/charts/chart5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55.xml" ContentType="application/vnd.openxmlformats-officedocument.themeOverride+xml"/>
  <Override PartName="/xl/drawings/drawing87.xml" ContentType="application/vnd.openxmlformats-officedocument.drawingml.chartshapes+xml"/>
  <Override PartName="/xl/charts/chart5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56.xml" ContentType="application/vnd.openxmlformats-officedocument.themeOverride+xml"/>
  <Override PartName="/xl/drawings/drawing88.xml" ContentType="application/vnd.openxmlformats-officedocument.drawingml.chartshapes+xml"/>
  <Override PartName="/xl/charts/chart57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57.xml" ContentType="application/vnd.openxmlformats-officedocument.themeOverride+xml"/>
  <Override PartName="/xl/drawings/drawing89.xml" ContentType="application/vnd.openxmlformats-officedocument.drawingml.chartshapes+xml"/>
  <Override PartName="/xl/charts/chart58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8.xml" ContentType="application/vnd.openxmlformats-officedocument.themeOverride+xml"/>
  <Override PartName="/xl/drawings/drawing90.xml" ContentType="application/vnd.openxmlformats-officedocument.drawingml.chartshapes+xml"/>
  <Override PartName="/xl/charts/chart59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9.xml" ContentType="application/vnd.openxmlformats-officedocument.themeOverride+xml"/>
  <Override PartName="/xl/drawings/drawing91.xml" ContentType="application/vnd.openxmlformats-officedocument.drawingml.chartshapes+xml"/>
  <Override PartName="/xl/charts/chart60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60.xml" ContentType="application/vnd.openxmlformats-officedocument.themeOverride+xml"/>
  <Override PartName="/xl/drawings/drawing92.xml" ContentType="application/vnd.openxmlformats-officedocument.drawingml.chartshapes+xml"/>
  <Override PartName="/xl/charts/chart61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61.xml" ContentType="application/vnd.openxmlformats-officedocument.themeOverride+xml"/>
  <Override PartName="/xl/drawings/drawing93.xml" ContentType="application/vnd.openxmlformats-officedocument.drawingml.chartshapes+xml"/>
  <Override PartName="/xl/charts/chart62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62.xml" ContentType="application/vnd.openxmlformats-officedocument.themeOverride+xml"/>
  <Override PartName="/xl/drawings/drawing94.xml" ContentType="application/vnd.openxmlformats-officedocument.drawingml.chartshapes+xml"/>
  <Override PartName="/xl/drawings/drawing95.xml" ContentType="application/vnd.openxmlformats-officedocument.drawing+xml"/>
  <Override PartName="/xl/charts/chart63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63.xml" ContentType="application/vnd.openxmlformats-officedocument.themeOverride+xml"/>
  <Override PartName="/xl/drawings/drawing96.xml" ContentType="application/vnd.openxmlformats-officedocument.drawingml.chartshapes+xml"/>
  <Override PartName="/xl/charts/chart64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64.xml" ContentType="application/vnd.openxmlformats-officedocument.themeOverride+xml"/>
  <Override PartName="/xl/drawings/drawing97.xml" ContentType="application/vnd.openxmlformats-officedocument.drawingml.chartshapes+xml"/>
  <Override PartName="/xl/charts/chart65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65.xml" ContentType="application/vnd.openxmlformats-officedocument.themeOverride+xml"/>
  <Override PartName="/xl/drawings/drawing98.xml" ContentType="application/vnd.openxmlformats-officedocument.drawingml.chartshapes+xml"/>
  <Override PartName="/xl/charts/chart66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66.xml" ContentType="application/vnd.openxmlformats-officedocument.themeOverride+xml"/>
  <Override PartName="/xl/drawings/drawing99.xml" ContentType="application/vnd.openxmlformats-officedocument.drawingml.chartshapes+xml"/>
  <Override PartName="/xl/charts/chart67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67.xml" ContentType="application/vnd.openxmlformats-officedocument.themeOverride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charts/chart68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8.xml" ContentType="application/vnd.openxmlformats-officedocument.themeOverride+xml"/>
  <Override PartName="/xl/drawings/drawing103.xml" ContentType="application/vnd.openxmlformats-officedocument.drawingml.chartshapes+xml"/>
  <Override PartName="/xl/charts/chart69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9.xml" ContentType="application/vnd.openxmlformats-officedocument.themeOverride+xml"/>
  <Override PartName="/xl/drawings/drawing104.xml" ContentType="application/vnd.openxmlformats-officedocument.drawingml.chartshapes+xml"/>
  <Override PartName="/xl/charts/chart70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70.xml" ContentType="application/vnd.openxmlformats-officedocument.themeOverride+xml"/>
  <Override PartName="/xl/drawings/drawing105.xml" ContentType="application/vnd.openxmlformats-officedocument.drawingml.chartshapes+xml"/>
  <Override PartName="/xl/charts/chart71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71.xml" ContentType="application/vnd.openxmlformats-officedocument.themeOverride+xml"/>
  <Override PartName="/xl/drawings/drawing106.xml" ContentType="application/vnd.openxmlformats-officedocument.drawingml.chartshapes+xml"/>
  <Override PartName="/xl/charts/chart72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72.xml" ContentType="application/vnd.openxmlformats-officedocument.themeOverride+xml"/>
  <Override PartName="/xl/drawings/drawing107.xml" ContentType="application/vnd.openxmlformats-officedocument.drawingml.chartshapes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charts/chart73.xml" ContentType="application/vnd.openxmlformats-officedocument.drawingml.chart+xml"/>
  <Override PartName="/xl/drawings/drawing114.xml" ContentType="application/vnd.openxmlformats-officedocument.drawingml.chartshapes+xml"/>
  <Override PartName="/xl/charts/chart7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15.xml" ContentType="application/vnd.openxmlformats-officedocument.drawingml.chartshapes+xml"/>
  <Override PartName="/xl/charts/chart75.xml" ContentType="application/vnd.openxmlformats-officedocument.drawingml.chart+xml"/>
  <Override PartName="/xl/theme/themeOverride73.xml" ContentType="application/vnd.openxmlformats-officedocument.themeOverride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7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18.xml" ContentType="application/vnd.openxmlformats-officedocument.drawingml.chartshapes+xml"/>
  <Override PartName="/xl/charts/chart7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119.xml" ContentType="application/vnd.openxmlformats-officedocument.drawingml.chartshapes+xml"/>
  <Override PartName="/xl/drawings/drawing120.xml" ContentType="application/vnd.openxmlformats-officedocument.drawing+xml"/>
  <Override PartName="/xl/charts/chart7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21.xml" ContentType="application/vnd.openxmlformats-officedocument.drawingml.chartshapes+xml"/>
  <Override PartName="/xl/charts/chart7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122.xml" ContentType="application/vnd.openxmlformats-officedocument.drawingml.chartshapes+xml"/>
  <Override PartName="/xl/drawings/drawing123.xml" ContentType="application/vnd.openxmlformats-officedocument.drawing+xml"/>
  <Override PartName="/xl/charts/chart8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24.xml" ContentType="application/vnd.openxmlformats-officedocument.drawingml.chartshapes+xml"/>
  <Override PartName="/xl/charts/chart8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25.xml" ContentType="application/vnd.openxmlformats-officedocument.drawingml.chartshapes+xml"/>
  <Override PartName="/xl/drawings/drawing126.xml" ContentType="application/vnd.openxmlformats-officedocument.drawing+xml"/>
  <Override PartName="/xl/charts/chart8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127.xml" ContentType="application/vnd.openxmlformats-officedocument.drawingml.chartshapes+xml"/>
  <Override PartName="/xl/charts/chart83.xml" ContentType="application/vnd.openxmlformats-officedocument.drawingml.chart+xml"/>
  <Override PartName="/xl/theme/themeOverride74.xml" ContentType="application/vnd.openxmlformats-officedocument.themeOverride+xml"/>
  <Override PartName="/xl/drawings/drawing128.xml" ContentType="application/vnd.openxmlformats-officedocument.drawingml.chartshapes+xml"/>
  <Override PartName="/xl/charts/chart8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129.xml" ContentType="application/vnd.openxmlformats-officedocument.drawingml.chartshapes+xml"/>
  <Override PartName="/xl/drawings/drawing130.xml" ContentType="application/vnd.openxmlformats-officedocument.drawing+xml"/>
  <Override PartName="/xl/charts/chart8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131.xml" ContentType="application/vnd.openxmlformats-officedocument.drawingml.chartshapes+xml"/>
  <Override PartName="/xl/charts/chart86.xml" ContentType="application/vnd.openxmlformats-officedocument.drawingml.chart+xml"/>
  <Override PartName="/xl/theme/themeOverride75.xml" ContentType="application/vnd.openxmlformats-officedocument.themeOverride+xml"/>
  <Override PartName="/xl/drawings/drawing132.xml" ContentType="application/vnd.openxmlformats-officedocument.drawingml.chartshapes+xml"/>
  <Override PartName="/xl/charts/chart8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33.xml" ContentType="application/vnd.openxmlformats-officedocument.drawingml.chartshapes+xml"/>
  <Override PartName="/xl/drawings/drawing134.xml" ContentType="application/vnd.openxmlformats-officedocument.drawing+xml"/>
  <Override PartName="/xl/charts/chart8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135.xml" ContentType="application/vnd.openxmlformats-officedocument.drawingml.chartshapes+xml"/>
  <Override PartName="/xl/charts/chart89.xml" ContentType="application/vnd.openxmlformats-officedocument.drawingml.chart+xml"/>
  <Override PartName="/xl/theme/themeOverride76.xml" ContentType="application/vnd.openxmlformats-officedocument.themeOverride+xml"/>
  <Override PartName="/xl/drawings/drawing136.xml" ContentType="application/vnd.openxmlformats-officedocument.drawingml.chartshapes+xml"/>
  <Override PartName="/xl/charts/chart90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137.xml" ContentType="application/vnd.openxmlformats-officedocument.drawingml.chartshapes+xml"/>
  <Override PartName="/xl/drawings/drawing138.xml" ContentType="application/vnd.openxmlformats-officedocument.drawing+xml"/>
  <Override PartName="/xl/charts/chart91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77.xml" ContentType="application/vnd.openxmlformats-officedocument.themeOverride+xml"/>
  <Override PartName="/xl/drawings/drawing139.xml" ContentType="application/vnd.openxmlformats-officedocument.drawingml.chartshapes+xml"/>
  <Override PartName="/xl/drawings/drawing140.xml" ContentType="application/vnd.openxmlformats-officedocument.drawing+xml"/>
  <Override PartName="/xl/charts/chart92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78.xml" ContentType="application/vnd.openxmlformats-officedocument.themeOverride+xml"/>
  <Override PartName="/xl/drawings/drawing141.xml" ContentType="application/vnd.openxmlformats-officedocument.drawingml.chartshapes+xml"/>
  <Override PartName="/xl/drawings/drawing142.xml" ContentType="application/vnd.openxmlformats-officedocument.drawing+xml"/>
  <Override PartName="/xl/charts/chart93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79.xml" ContentType="application/vnd.openxmlformats-officedocument.themeOverride+xml"/>
  <Override PartName="/xl/drawings/drawing14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Encuesta Alojam Turísticos (ISTAC)/2025/Municipios/diciembre/"/>
    </mc:Choice>
  </mc:AlternateContent>
  <xr:revisionPtr revIDLastSave="6" documentId="8_{002C5FD8-1AE1-49CA-B1C3-CC4ABE831696}" xr6:coauthVersionLast="47" xr6:coauthVersionMax="47" xr10:uidLastSave="{9EBEE707-6815-48CA-8C7A-E6CBDA59FA0F}"/>
  <bookViews>
    <workbookView xWindow="150" yWindow="210" windowWidth="28140" windowHeight="15465" xr2:uid="{8E079CA8-CB6F-4AB8-8648-4AFE46849F9D}"/>
  </bookViews>
  <sheets>
    <sheet name="Menú principal" sheetId="1" r:id="rId1"/>
    <sheet name="Resumen indicadores (aloj)" sheetId="2" r:id="rId2"/>
    <sheet name="Resumen indicadores municipios " sheetId="3" r:id="rId3"/>
    <sheet name="Oferta alojativa" sheetId="4" r:id="rId4"/>
    <sheet name="Plazas aloj islas cat y tipolog" sheetId="5" r:id="rId5"/>
    <sheet name="Establecim aloj islas cat y tip" sheetId="6" r:id="rId6"/>
    <sheet name="viajeros entrados" sheetId="7" r:id="rId7"/>
    <sheet name="Viajeros entr evol mensu TF" sheetId="8" r:id="rId8"/>
    <sheet name="Viajeros entr evol mensu TF15-2" sheetId="9" r:id="rId9"/>
    <sheet name="Viajeros entr evol mensu TF cat" sheetId="10" r:id="rId10"/>
    <sheet name="Viajeros entr evol anual TF cat" sheetId="11" r:id="rId11"/>
    <sheet name="Viajeros entr ti-cat ultimo mes" sheetId="12" r:id="rId12"/>
    <sheet name="viaj entrados lugar resid años " sheetId="13" r:id="rId13"/>
    <sheet name="viaj entrados lugar residencia" sheetId="14" r:id="rId14"/>
    <sheet name="viaj entrados lugar residen acu" sheetId="15" r:id="rId15"/>
    <sheet name="viaj entrados lugar residen hot" sheetId="16" r:id="rId16"/>
    <sheet name="viaj entrados lugar residen apt" sheetId="17" r:id="rId17"/>
    <sheet name="viaj entrados lugar residen cat" sheetId="18" r:id="rId18"/>
    <sheet name="viaj entr lugar res año categor" sheetId="19" r:id="rId19"/>
    <sheet name="viajeros alojados" sheetId="20" r:id="rId20"/>
    <sheet name="viaj aloj lugar residen mes" sheetId="21" r:id="rId21"/>
    <sheet name="viaj alojados lugar residen acu" sheetId="22" r:id="rId22"/>
    <sheet name="viaj aloj lugar resid año" sheetId="23" r:id="rId23"/>
    <sheet name="Viajeros aloj evol anual TF" sheetId="24" r:id="rId24"/>
    <sheet name="Pernoctaciones" sheetId="25" r:id="rId25"/>
    <sheet name="Pernoctaciones evol mensu TF" sheetId="26" r:id="rId26"/>
    <sheet name="Pernocta evol mensu TF cat" sheetId="27" r:id="rId27"/>
    <sheet name="Pernoctaciones lugar reside" sheetId="28" r:id="rId28"/>
    <sheet name="Pernoctaciones lugar residen ac" sheetId="29" r:id="rId29"/>
    <sheet name="Pernoctaciones lugar reside año" sheetId="30" r:id="rId30"/>
    <sheet name="Estancia media" sheetId="31" r:id="rId31"/>
    <sheet name="EM evol menusual lugar resd" sheetId="32" r:id="rId32"/>
    <sheet name="EM evol mensu TF cat " sheetId="33" r:id="rId33"/>
    <sheet name="Tasa de ocupación" sheetId="34" r:id="rId34"/>
    <sheet name="tasa de ocupación evol mens" sheetId="35" r:id="rId35"/>
    <sheet name="indicadores rentabilidad" sheetId="36" r:id="rId36"/>
    <sheet name="ADR RevPAR ingresos totales ult" sheetId="37" r:id="rId37"/>
    <sheet name="ADR municipios" sheetId="38" r:id="rId38"/>
    <sheet name="RevPAR  municipios" sheetId="39" r:id="rId39"/>
    <sheet name="viajeros españoles" sheetId="40" r:id="rId40"/>
    <sheet name="distribución españoles x Resid" sheetId="41" r:id="rId41"/>
    <sheet name="distribución españoles x cate" sheetId="42" r:id="rId42"/>
    <sheet name="distribución peninsulare x cate" sheetId="43" r:id="rId43"/>
    <sheet name="distribución canarios x cate" sheetId="44" r:id="rId44"/>
    <sheet name="distribución españoles x mun al" sheetId="45" r:id="rId45"/>
    <sheet name="distribución peninsula x munici" sheetId="46" r:id="rId46"/>
    <sheet name="distribución canarias x munici" sheetId="47" r:id="rId47"/>
    <sheet name="evolución anual viaj ent españo" sheetId="48" r:id="rId48"/>
    <sheet name="evolución anual viaj ent penins" sheetId="49" r:id="rId49"/>
    <sheet name="evolución anual viaj ent canari" sheetId="50" r:id="rId50"/>
  </sheets>
  <definedNames>
    <definedName name="_xlnm.Print_Area" localSheetId="46">'distribución canarias x munici'!$B$3:$AB$37</definedName>
    <definedName name="_xlnm.Print_Area" localSheetId="43">'distribución canarios x cate'!$B$3:$AB$33</definedName>
    <definedName name="_xlnm.Print_Area" localSheetId="41">'distribución españoles x cate'!$B$3:$AB$33</definedName>
    <definedName name="_xlnm.Print_Area" localSheetId="44">'distribución españoles x mun al'!$B$3:$AB$37</definedName>
    <definedName name="_xlnm.Print_Area" localSheetId="40">'distribución españoles x Resid'!$B$3:$AB$32</definedName>
    <definedName name="_xlnm.Print_Area" localSheetId="45">'distribución peninsula x munici'!$B$3:$AB$37</definedName>
    <definedName name="_xlnm.Print_Area" localSheetId="42">'distribución peninsulare x cate'!$B$3:$AB$33</definedName>
    <definedName name="_xlnm.Print_Area" localSheetId="27">'Pernoctaciones lugar reside'!$B$4:$K$162</definedName>
    <definedName name="_xlnm.Print_Area" localSheetId="29">'Pernoctaciones lugar reside año'!$B$4:$M$162</definedName>
    <definedName name="_xlnm.Print_Area" localSheetId="28">'Pernoctaciones lugar residen ac'!$B$3:$K$162</definedName>
    <definedName name="_xlnm.Print_Area" localSheetId="22">'viaj aloj lugar resid año'!$B$3:$K$162</definedName>
    <definedName name="_xlnm.Print_Area" localSheetId="21">'viaj alojados lugar residen acu'!$B$4:$L$163</definedName>
    <definedName name="_xlnm.Print_Area" localSheetId="18">'viaj entr lugar res año categor'!$B$4:$B$164</definedName>
    <definedName name="_xlnm.Print_Area" localSheetId="12">'viaj entrados lugar resid años '!$B$3:$K$162</definedName>
    <definedName name="_xlnm.Print_Area" localSheetId="14">'viaj entrados lugar residen acu'!$B$4:$M$22</definedName>
    <definedName name="_xlnm.Print_Area" localSheetId="16">'viaj entrados lugar residen apt'!$B$4:$K$22</definedName>
    <definedName name="_xlnm.Print_Area" localSheetId="17">'viaj entrados lugar residen cat'!$B$3:$B$163</definedName>
    <definedName name="_xlnm.Print_Area" localSheetId="15">'viaj entrados lugar residen hot'!$B$4:$K$22</definedName>
    <definedName name="españafuerteventura">#REF!</definedName>
    <definedName name="españafuerteventura0">#REF!</definedName>
    <definedName name="españagrancanaria">#REF!</definedName>
    <definedName name="españagrancanaria0">#REF!</definedName>
    <definedName name="españalanzarote">#REF!</definedName>
    <definedName name="españalanzarote0">#REF!</definedName>
    <definedName name="españalapalma">#REF!</definedName>
    <definedName name="españalapalma0">#REF!</definedName>
    <definedName name="españaTFN">#REF!</definedName>
    <definedName name="españaTFN0">#REF!</definedName>
    <definedName name="españaTFS">#REF!</definedName>
    <definedName name="españaTFS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5" i="47" l="1"/>
  <c r="R5" i="47"/>
  <c r="P5" i="47"/>
  <c r="N5" i="47"/>
  <c r="M5" i="47"/>
  <c r="J5" i="47"/>
  <c r="F5" i="47"/>
  <c r="S5" i="47"/>
  <c r="K135" i="46"/>
  <c r="T5" i="46"/>
  <c r="Q5" i="46"/>
  <c r="P5" i="46"/>
  <c r="N5" i="46"/>
  <c r="L5" i="46"/>
  <c r="M5" i="46"/>
  <c r="J5" i="46"/>
  <c r="I5" i="46"/>
  <c r="F5" i="46"/>
  <c r="H5" i="46"/>
  <c r="R5" i="46"/>
  <c r="O135" i="45"/>
  <c r="L135" i="45"/>
  <c r="K135" i="45"/>
  <c r="I135" i="45"/>
  <c r="L5" i="45"/>
  <c r="J5" i="45"/>
  <c r="I5" i="45"/>
  <c r="F5" i="45"/>
  <c r="O133" i="44"/>
  <c r="N133" i="44"/>
  <c r="K133" i="44"/>
  <c r="T5" i="44"/>
  <c r="S5" i="44"/>
  <c r="R5" i="44"/>
  <c r="Q5" i="44"/>
  <c r="P5" i="44"/>
  <c r="N5" i="44"/>
  <c r="M5" i="44"/>
  <c r="L5" i="44"/>
  <c r="J5" i="44"/>
  <c r="O133" i="43"/>
  <c r="N133" i="43"/>
  <c r="M133" i="43"/>
  <c r="K133" i="43"/>
  <c r="H133" i="43"/>
  <c r="G133" i="43"/>
  <c r="I133" i="43"/>
  <c r="T5" i="43"/>
  <c r="L5" i="43"/>
  <c r="J5" i="43"/>
  <c r="H5" i="43"/>
  <c r="O133" i="42"/>
  <c r="I133" i="42"/>
  <c r="S5" i="42"/>
  <c r="N5" i="42"/>
  <c r="I5" i="42"/>
  <c r="H5" i="42"/>
  <c r="F5" i="42"/>
  <c r="O123" i="41"/>
  <c r="N123" i="41"/>
  <c r="I123" i="41"/>
  <c r="H123" i="41"/>
  <c r="G123" i="41"/>
  <c r="T5" i="41"/>
  <c r="S5" i="41"/>
  <c r="R5" i="41"/>
  <c r="Q5" i="41"/>
  <c r="M5" i="41"/>
  <c r="L5" i="41"/>
  <c r="K5" i="41"/>
  <c r="H5" i="41"/>
  <c r="I5" i="41"/>
  <c r="B3" i="39"/>
  <c r="P5" i="38"/>
  <c r="J5" i="38"/>
  <c r="I5" i="38"/>
  <c r="B3" i="38"/>
  <c r="AL29" i="37"/>
  <c r="AK29" i="37"/>
  <c r="W29" i="37"/>
  <c r="V29" i="37"/>
  <c r="AV7" i="37"/>
  <c r="AT7" i="37"/>
  <c r="AL7" i="37"/>
  <c r="N7" i="37"/>
  <c r="H7" i="37"/>
  <c r="E95" i="35"/>
  <c r="K73" i="35"/>
  <c r="E73" i="35"/>
  <c r="K51" i="35"/>
  <c r="E51" i="35"/>
  <c r="M29" i="35"/>
  <c r="K29" i="35"/>
  <c r="E29" i="35"/>
  <c r="H8" i="35"/>
  <c r="D96" i="33"/>
  <c r="J96" i="33"/>
  <c r="H96" i="33"/>
  <c r="F96" i="33"/>
  <c r="L74" i="33"/>
  <c r="J74" i="33"/>
  <c r="F74" i="33"/>
  <c r="D74" i="33"/>
  <c r="M51" i="33"/>
  <c r="N52" i="33" s="1"/>
  <c r="L52" i="33"/>
  <c r="J52" i="33"/>
  <c r="H52" i="33"/>
  <c r="F52" i="33"/>
  <c r="D52" i="33"/>
  <c r="J30" i="33"/>
  <c r="D30" i="33"/>
  <c r="H30" i="33"/>
  <c r="F8" i="33"/>
  <c r="J8" i="33"/>
  <c r="H8" i="33"/>
  <c r="D8" i="33"/>
  <c r="J272" i="32"/>
  <c r="N272" i="32"/>
  <c r="L272" i="32"/>
  <c r="H272" i="32"/>
  <c r="F272" i="32"/>
  <c r="D272" i="32"/>
  <c r="B270" i="32"/>
  <c r="L250" i="32"/>
  <c r="J250" i="32"/>
  <c r="H250" i="32"/>
  <c r="D250" i="32"/>
  <c r="B248" i="32"/>
  <c r="N228" i="32"/>
  <c r="L228" i="32"/>
  <c r="H228" i="32"/>
  <c r="F228" i="32"/>
  <c r="D228" i="32"/>
  <c r="B226" i="32"/>
  <c r="H206" i="32"/>
  <c r="L206" i="32"/>
  <c r="F206" i="32"/>
  <c r="D206" i="32"/>
  <c r="B204" i="32"/>
  <c r="N184" i="32"/>
  <c r="L184" i="32"/>
  <c r="J184" i="32"/>
  <c r="H184" i="32"/>
  <c r="D184" i="32"/>
  <c r="B182" i="32"/>
  <c r="N162" i="32"/>
  <c r="L162" i="32"/>
  <c r="H162" i="32"/>
  <c r="F162" i="32"/>
  <c r="D162" i="32"/>
  <c r="B160" i="32"/>
  <c r="H140" i="32"/>
  <c r="L140" i="32"/>
  <c r="F140" i="32"/>
  <c r="D140" i="32"/>
  <c r="B138" i="32"/>
  <c r="N118" i="32"/>
  <c r="L118" i="32"/>
  <c r="J118" i="32"/>
  <c r="H118" i="32"/>
  <c r="D118" i="32"/>
  <c r="B116" i="32"/>
  <c r="N96" i="32"/>
  <c r="L96" i="32"/>
  <c r="H96" i="32"/>
  <c r="F96" i="32"/>
  <c r="D96" i="32"/>
  <c r="L74" i="32"/>
  <c r="J74" i="32"/>
  <c r="H74" i="32"/>
  <c r="F74" i="32"/>
  <c r="D74" i="32"/>
  <c r="L52" i="32"/>
  <c r="N30" i="32"/>
  <c r="L30" i="32"/>
  <c r="J30" i="32"/>
  <c r="D30" i="32"/>
  <c r="L8" i="32"/>
  <c r="F8" i="32"/>
  <c r="N8" i="32"/>
  <c r="J8" i="32"/>
  <c r="H8" i="32"/>
  <c r="D8" i="32"/>
  <c r="B4" i="30"/>
  <c r="J6" i="29"/>
  <c r="B3" i="29"/>
  <c r="B4" i="28"/>
  <c r="M95" i="27"/>
  <c r="K73" i="27"/>
  <c r="M51" i="27"/>
  <c r="N52" i="27" s="1"/>
  <c r="K51" i="27"/>
  <c r="M29" i="27"/>
  <c r="M73" i="27"/>
  <c r="N74" i="27" s="1"/>
  <c r="K7" i="27"/>
  <c r="K95" i="27" s="1"/>
  <c r="I7" i="27"/>
  <c r="B252" i="26"/>
  <c r="B226" i="26"/>
  <c r="M205" i="26"/>
  <c r="B204" i="26"/>
  <c r="B182" i="26"/>
  <c r="B160" i="26"/>
  <c r="M139" i="26"/>
  <c r="B138" i="26"/>
  <c r="K117" i="26"/>
  <c r="B116" i="26"/>
  <c r="M73" i="26"/>
  <c r="M51" i="26"/>
  <c r="K51" i="26"/>
  <c r="M29" i="26"/>
  <c r="M227" i="26"/>
  <c r="K7" i="26"/>
  <c r="K6" i="23"/>
  <c r="B3" i="23"/>
  <c r="X7" i="22"/>
  <c r="L7" i="22"/>
  <c r="B4" i="22"/>
  <c r="B5" i="21"/>
  <c r="X7" i="19"/>
  <c r="V7" i="19"/>
  <c r="U7" i="19"/>
  <c r="J7" i="19"/>
  <c r="F7" i="19"/>
  <c r="B4" i="19"/>
  <c r="Y6" i="18"/>
  <c r="B3" i="18"/>
  <c r="W7" i="17"/>
  <c r="J7" i="17"/>
  <c r="I7" i="17"/>
  <c r="K7" i="17"/>
  <c r="B4" i="17"/>
  <c r="W7" i="16"/>
  <c r="B4" i="16"/>
  <c r="M7" i="15"/>
  <c r="B4" i="15"/>
  <c r="I9" i="14"/>
  <c r="J9" i="14"/>
  <c r="B6" i="14"/>
  <c r="W6" i="13"/>
  <c r="V6" i="13"/>
  <c r="U6" i="13"/>
  <c r="J6" i="13"/>
  <c r="I6" i="13"/>
  <c r="K6" i="13"/>
  <c r="B3" i="13"/>
  <c r="U5" i="12"/>
  <c r="T5" i="12"/>
  <c r="L96" i="10"/>
  <c r="K95" i="10"/>
  <c r="I95" i="10" s="1"/>
  <c r="N74" i="10"/>
  <c r="K29" i="10"/>
  <c r="N8" i="10"/>
  <c r="B270" i="8"/>
  <c r="B248" i="8"/>
  <c r="K227" i="8"/>
  <c r="L228" i="8" s="1"/>
  <c r="B226" i="8"/>
  <c r="B204" i="8"/>
  <c r="B182" i="8"/>
  <c r="K161" i="8"/>
  <c r="L162" i="8" s="1"/>
  <c r="B160" i="8"/>
  <c r="M139" i="8"/>
  <c r="N140" i="8" s="1"/>
  <c r="B138" i="8"/>
  <c r="B116" i="8"/>
  <c r="N96" i="8"/>
  <c r="M95" i="8"/>
  <c r="L52" i="8"/>
  <c r="K51" i="8"/>
  <c r="M29" i="8"/>
  <c r="N30" i="8" s="1"/>
  <c r="K7" i="8"/>
  <c r="K95" i="8" s="1"/>
  <c r="L96" i="8" s="1"/>
  <c r="I7" i="8"/>
  <c r="K6" i="6"/>
  <c r="J6" i="6"/>
  <c r="I6" i="6"/>
  <c r="B3" i="6"/>
  <c r="W6" i="5"/>
  <c r="U6" i="5"/>
  <c r="I6" i="5"/>
  <c r="B3" i="5"/>
  <c r="L6" i="3"/>
  <c r="J56" i="2"/>
  <c r="L31" i="2"/>
  <c r="L6" i="2"/>
  <c r="K6" i="2"/>
  <c r="J6" i="2"/>
  <c r="B41" i="1"/>
  <c r="B40" i="1"/>
  <c r="B39" i="1"/>
  <c r="M2" i="1"/>
  <c r="J79" i="27"/>
  <c r="N59" i="27"/>
  <c r="J38" i="27"/>
  <c r="H265" i="26"/>
  <c r="H261" i="26"/>
  <c r="H257" i="26"/>
  <c r="L217" i="26"/>
  <c r="L213" i="26"/>
  <c r="L209" i="26"/>
  <c r="N194" i="26"/>
  <c r="N190" i="26"/>
  <c r="N186" i="26"/>
  <c r="J175" i="26"/>
  <c r="J171" i="26"/>
  <c r="J167" i="26"/>
  <c r="H164" i="26"/>
  <c r="J106" i="26"/>
  <c r="L104" i="26"/>
  <c r="N85" i="26"/>
  <c r="N76" i="26"/>
  <c r="N61" i="26"/>
  <c r="N60" i="26"/>
  <c r="J43" i="26"/>
  <c r="J42" i="26"/>
  <c r="N18" i="26"/>
  <c r="N17" i="26"/>
  <c r="N16" i="26"/>
  <c r="L15" i="26"/>
  <c r="J13" i="26"/>
  <c r="J12" i="26"/>
  <c r="H11" i="26"/>
  <c r="H10" i="26"/>
  <c r="D100" i="24"/>
  <c r="D79" i="24"/>
  <c r="D10" i="24"/>
  <c r="G48" i="23"/>
  <c r="N102" i="27"/>
  <c r="H64" i="27"/>
  <c r="N54" i="27"/>
  <c r="F38" i="27"/>
  <c r="J33" i="27"/>
  <c r="N240" i="26"/>
  <c r="N236" i="26"/>
  <c r="N232" i="26"/>
  <c r="N193" i="26"/>
  <c r="N189" i="26"/>
  <c r="N185" i="26"/>
  <c r="N163" i="26"/>
  <c r="N130" i="26"/>
  <c r="N127" i="26"/>
  <c r="N124" i="26"/>
  <c r="N107" i="26"/>
  <c r="J104" i="26"/>
  <c r="J102" i="26"/>
  <c r="N97" i="26"/>
  <c r="N82" i="26"/>
  <c r="N63" i="26"/>
  <c r="J32" i="26"/>
  <c r="J31" i="26"/>
  <c r="N20" i="26"/>
  <c r="N19" i="26"/>
  <c r="L18" i="26"/>
  <c r="L17" i="26"/>
  <c r="J15" i="26"/>
  <c r="H14" i="26"/>
  <c r="H13" i="26"/>
  <c r="H12" i="26"/>
  <c r="D112" i="24"/>
  <c r="D105" i="24"/>
  <c r="D84" i="24"/>
  <c r="D78" i="24"/>
  <c r="D57" i="24"/>
  <c r="D43" i="24"/>
  <c r="D9" i="24"/>
  <c r="D76" i="23"/>
  <c r="E48" i="23"/>
  <c r="N60" i="27"/>
  <c r="L214" i="26"/>
  <c r="J168" i="26"/>
  <c r="L153" i="26"/>
  <c r="L144" i="26"/>
  <c r="N57" i="26"/>
  <c r="J40" i="26"/>
  <c r="H16" i="26"/>
  <c r="N9" i="26"/>
  <c r="D17" i="24"/>
  <c r="F146" i="23"/>
  <c r="G21" i="22"/>
  <c r="E120" i="21"/>
  <c r="E78" i="21"/>
  <c r="C50" i="21"/>
  <c r="M22" i="21"/>
  <c r="H58" i="27"/>
  <c r="F42" i="27"/>
  <c r="L212" i="26"/>
  <c r="J166" i="26"/>
  <c r="N121" i="26"/>
  <c r="J108" i="26"/>
  <c r="J98" i="26"/>
  <c r="L63" i="26"/>
  <c r="J33" i="26"/>
  <c r="N15" i="26"/>
  <c r="J9" i="26"/>
  <c r="D113" i="24"/>
  <c r="D90" i="24"/>
  <c r="D14" i="24"/>
  <c r="G91" i="22"/>
  <c r="G77" i="22"/>
  <c r="H63" i="22"/>
  <c r="H49" i="22"/>
  <c r="H35" i="22"/>
  <c r="C21" i="22"/>
  <c r="L208" i="26"/>
  <c r="J174" i="26"/>
  <c r="J163" i="26"/>
  <c r="J101" i="26"/>
  <c r="H21" i="26"/>
  <c r="N14" i="26"/>
  <c r="D107" i="24"/>
  <c r="D20" i="23"/>
  <c r="C91" i="22"/>
  <c r="D77" i="22"/>
  <c r="D63" i="22"/>
  <c r="D49" i="22"/>
  <c r="Q21" i="22"/>
  <c r="C148" i="21"/>
  <c r="C106" i="21"/>
  <c r="L218" i="26"/>
  <c r="J172" i="26"/>
  <c r="L147" i="26"/>
  <c r="N100" i="26"/>
  <c r="N58" i="26"/>
  <c r="J41" i="26"/>
  <c r="L20" i="26"/>
  <c r="D104" i="24"/>
  <c r="D81" i="24"/>
  <c r="G90" i="23"/>
  <c r="G62" i="23"/>
  <c r="H15" i="26"/>
  <c r="D87" i="24"/>
  <c r="E63" i="22"/>
  <c r="D92" i="21"/>
  <c r="L64" i="26"/>
  <c r="J39" i="26"/>
  <c r="C76" i="23"/>
  <c r="D48" i="23"/>
  <c r="G20" i="23"/>
  <c r="D133" i="22"/>
  <c r="D50" i="21"/>
  <c r="J10" i="26"/>
  <c r="D111" i="24"/>
  <c r="C147" i="22"/>
  <c r="E105" i="22"/>
  <c r="D91" i="22"/>
  <c r="E77" i="22"/>
  <c r="D134" i="21"/>
  <c r="E22" i="21"/>
  <c r="V21" i="19"/>
  <c r="V9" i="19"/>
  <c r="L216" i="26"/>
  <c r="L141" i="26"/>
  <c r="J34" i="26"/>
  <c r="D62" i="23"/>
  <c r="D34" i="23"/>
  <c r="C22" i="21"/>
  <c r="L90" i="18"/>
  <c r="F90" i="18"/>
  <c r="U78" i="18"/>
  <c r="O78" i="18"/>
  <c r="C78" i="18"/>
  <c r="K76" i="18"/>
  <c r="E76" i="18"/>
  <c r="U48" i="18"/>
  <c r="O48" i="18"/>
  <c r="C48" i="18"/>
  <c r="L36" i="18"/>
  <c r="F36" i="18"/>
  <c r="K22" i="18"/>
  <c r="E22" i="18"/>
  <c r="L210" i="26"/>
  <c r="F146" i="18"/>
  <c r="U134" i="18"/>
  <c r="C134" i="18"/>
  <c r="U104" i="18"/>
  <c r="C104" i="18"/>
  <c r="K78" i="18"/>
  <c r="O50" i="18"/>
  <c r="K48" i="18"/>
  <c r="L20" i="18"/>
  <c r="U8" i="18"/>
  <c r="E147" i="17"/>
  <c r="E121" i="17"/>
  <c r="E91" i="17"/>
  <c r="E65" i="17"/>
  <c r="E35" i="17"/>
  <c r="E9" i="17"/>
  <c r="F65" i="16"/>
  <c r="F35" i="16"/>
  <c r="F21" i="16"/>
  <c r="F9" i="16"/>
  <c r="L150" i="26"/>
  <c r="H102" i="26"/>
  <c r="E146" i="23"/>
  <c r="G104" i="23"/>
  <c r="E36" i="21"/>
  <c r="V119" i="19"/>
  <c r="V107" i="19"/>
  <c r="V77" i="19"/>
  <c r="V65" i="19"/>
  <c r="U146" i="18"/>
  <c r="C146" i="18"/>
  <c r="K120" i="18"/>
  <c r="O92" i="18"/>
  <c r="K90" i="18"/>
  <c r="O62" i="18"/>
  <c r="L50" i="18"/>
  <c r="E36" i="18"/>
  <c r="U20" i="18"/>
  <c r="F8" i="18"/>
  <c r="E148" i="21"/>
  <c r="O134" i="18"/>
  <c r="K132" i="18"/>
  <c r="O104" i="18"/>
  <c r="L92" i="18"/>
  <c r="E78" i="18"/>
  <c r="L62" i="18"/>
  <c r="E48" i="18"/>
  <c r="E161" i="17"/>
  <c r="E135" i="17"/>
  <c r="E105" i="17"/>
  <c r="E79" i="17"/>
  <c r="E49" i="17"/>
  <c r="E23" i="17"/>
  <c r="L21" i="26"/>
  <c r="E132" i="23"/>
  <c r="D119" i="22"/>
  <c r="D106" i="21"/>
  <c r="V133" i="19"/>
  <c r="V121" i="19"/>
  <c r="V91" i="19"/>
  <c r="V79" i="19"/>
  <c r="V49" i="19"/>
  <c r="V37" i="19"/>
  <c r="V23" i="19"/>
  <c r="O146" i="18"/>
  <c r="L134" i="18"/>
  <c r="E120" i="18"/>
  <c r="L104" i="18"/>
  <c r="E90" i="18"/>
  <c r="F50" i="18"/>
  <c r="M34" i="18"/>
  <c r="F20" i="18"/>
  <c r="O8" i="18"/>
  <c r="C8" i="18"/>
  <c r="E149" i="17"/>
  <c r="E119" i="17"/>
  <c r="E93" i="17"/>
  <c r="E63" i="17"/>
  <c r="E37" i="17"/>
  <c r="L146" i="18"/>
  <c r="F92" i="18"/>
  <c r="T90" i="18"/>
  <c r="C20" i="18"/>
  <c r="F119" i="16"/>
  <c r="F93" i="16"/>
  <c r="C79" i="16"/>
  <c r="C9" i="16"/>
  <c r="E35" i="15"/>
  <c r="D149" i="14"/>
  <c r="F135" i="14"/>
  <c r="D107" i="14"/>
  <c r="F93" i="14"/>
  <c r="D65" i="14"/>
  <c r="F51" i="14"/>
  <c r="G23" i="14"/>
  <c r="G62" i="13"/>
  <c r="G34" i="13"/>
  <c r="G20" i="13"/>
  <c r="U55" i="12"/>
  <c r="U52" i="12"/>
  <c r="U49" i="12"/>
  <c r="U46" i="12"/>
  <c r="U43" i="12"/>
  <c r="U40" i="12"/>
  <c r="U37" i="12"/>
  <c r="U34" i="12"/>
  <c r="U31" i="12"/>
  <c r="U28" i="12"/>
  <c r="U25" i="12"/>
  <c r="U22" i="12"/>
  <c r="U19" i="12"/>
  <c r="U16" i="12"/>
  <c r="D67" i="11"/>
  <c r="D64" i="11"/>
  <c r="D61" i="11"/>
  <c r="D58" i="11"/>
  <c r="D55" i="11"/>
  <c r="D44" i="11"/>
  <c r="D41" i="11"/>
  <c r="D38" i="11"/>
  <c r="D35" i="11"/>
  <c r="D32" i="11"/>
  <c r="D21" i="11"/>
  <c r="D18" i="11"/>
  <c r="D15" i="11"/>
  <c r="D12" i="11"/>
  <c r="D9" i="11"/>
  <c r="N75" i="10"/>
  <c r="E118" i="23"/>
  <c r="V51" i="19"/>
  <c r="M118" i="18"/>
  <c r="C92" i="18"/>
  <c r="U62" i="18"/>
  <c r="K36" i="18"/>
  <c r="E21" i="17"/>
  <c r="E119" i="16"/>
  <c r="E93" i="16"/>
  <c r="G163" i="14"/>
  <c r="E135" i="14"/>
  <c r="G121" i="14"/>
  <c r="E93" i="14"/>
  <c r="G79" i="14"/>
  <c r="E51" i="14"/>
  <c r="G37" i="14"/>
  <c r="F23" i="14"/>
  <c r="D113" i="11"/>
  <c r="D110" i="11"/>
  <c r="D107" i="11"/>
  <c r="D104" i="11"/>
  <c r="D101" i="11"/>
  <c r="D90" i="11"/>
  <c r="D87" i="11"/>
  <c r="D84" i="11"/>
  <c r="D81" i="11"/>
  <c r="D78" i="11"/>
  <c r="Q20" i="9"/>
  <c r="K20" i="9"/>
  <c r="E20" i="9"/>
  <c r="Q18" i="9"/>
  <c r="K18" i="9"/>
  <c r="E18" i="9"/>
  <c r="Q16" i="9"/>
  <c r="K16" i="9"/>
  <c r="E16" i="9"/>
  <c r="Q14" i="9"/>
  <c r="K14" i="9"/>
  <c r="E14" i="9"/>
  <c r="Q12" i="9"/>
  <c r="K12" i="9"/>
  <c r="E12" i="9"/>
  <c r="Q10" i="9"/>
  <c r="K10" i="9"/>
  <c r="E10" i="9"/>
  <c r="V93" i="19"/>
  <c r="V63" i="19"/>
  <c r="V35" i="19"/>
  <c r="F134" i="18"/>
  <c r="T132" i="18"/>
  <c r="C62" i="18"/>
  <c r="V22" i="18"/>
  <c r="V8" i="18"/>
  <c r="S148" i="18"/>
  <c r="E133" i="17"/>
  <c r="E107" i="17"/>
  <c r="E77" i="17"/>
  <c r="E51" i="17"/>
  <c r="F149" i="16"/>
  <c r="F63" i="16"/>
  <c r="C49" i="16"/>
  <c r="F37" i="16"/>
  <c r="C23" i="16"/>
  <c r="C21" i="16"/>
  <c r="E163" i="14"/>
  <c r="G149" i="14"/>
  <c r="E121" i="14"/>
  <c r="G107" i="14"/>
  <c r="E79" i="14"/>
  <c r="G65" i="14"/>
  <c r="E37" i="14"/>
  <c r="D23" i="14"/>
  <c r="D112" i="11"/>
  <c r="D109" i="11"/>
  <c r="D106" i="11"/>
  <c r="D103" i="11"/>
  <c r="D100" i="11"/>
  <c r="D89" i="11"/>
  <c r="D86" i="11"/>
  <c r="D83" i="11"/>
  <c r="D80" i="11"/>
  <c r="D77" i="11"/>
  <c r="O20" i="9"/>
  <c r="I20" i="9"/>
  <c r="O18" i="9"/>
  <c r="I18" i="9"/>
  <c r="O16" i="9"/>
  <c r="I16" i="9"/>
  <c r="O14" i="9"/>
  <c r="I14" i="9"/>
  <c r="O12" i="9"/>
  <c r="I12" i="9"/>
  <c r="O10" i="9"/>
  <c r="I10" i="9"/>
  <c r="E132" i="18"/>
  <c r="T120" i="18"/>
  <c r="M76" i="18"/>
  <c r="C50" i="18"/>
  <c r="O20" i="18"/>
  <c r="L8" i="18"/>
  <c r="C149" i="17"/>
  <c r="C119" i="17"/>
  <c r="C93" i="17"/>
  <c r="C63" i="17"/>
  <c r="C37" i="17"/>
  <c r="E149" i="16"/>
  <c r="E63" i="16"/>
  <c r="E37" i="16"/>
  <c r="C161" i="15"/>
  <c r="C63" i="15"/>
  <c r="R21" i="15"/>
  <c r="C21" i="15"/>
  <c r="D163" i="14"/>
  <c r="F149" i="14"/>
  <c r="D121" i="14"/>
  <c r="F107" i="14"/>
  <c r="D79" i="14"/>
  <c r="F65" i="14"/>
  <c r="D37" i="14"/>
  <c r="H21" i="22"/>
  <c r="C64" i="21"/>
  <c r="V135" i="19"/>
  <c r="D22" i="18"/>
  <c r="E63" i="15"/>
  <c r="C35" i="15"/>
  <c r="F121" i="14"/>
  <c r="D51" i="14"/>
  <c r="E23" i="14"/>
  <c r="E146" i="13"/>
  <c r="E118" i="13"/>
  <c r="E62" i="13"/>
  <c r="E20" i="13"/>
  <c r="U57" i="12"/>
  <c r="U54" i="12"/>
  <c r="U51" i="12"/>
  <c r="U48" i="12"/>
  <c r="U45" i="12"/>
  <c r="U42" i="12"/>
  <c r="U39" i="12"/>
  <c r="U36" i="12"/>
  <c r="U33" i="12"/>
  <c r="U30" i="12"/>
  <c r="U27" i="12"/>
  <c r="U24" i="12"/>
  <c r="U21" i="12"/>
  <c r="U18" i="12"/>
  <c r="U15" i="12"/>
  <c r="A12" i="12"/>
  <c r="U11" i="12"/>
  <c r="D56" i="12"/>
  <c r="D63" i="11"/>
  <c r="D57" i="11"/>
  <c r="D19" i="11"/>
  <c r="D13" i="11"/>
  <c r="I21" i="9"/>
  <c r="K19" i="9"/>
  <c r="O17" i="9"/>
  <c r="E17" i="9"/>
  <c r="Q15" i="9"/>
  <c r="I15" i="9"/>
  <c r="K13" i="9"/>
  <c r="O11" i="9"/>
  <c r="E11" i="9"/>
  <c r="Q9" i="9"/>
  <c r="I9" i="9"/>
  <c r="H43" i="8"/>
  <c r="N42" i="8"/>
  <c r="H42" i="8"/>
  <c r="N41" i="8"/>
  <c r="H41" i="8"/>
  <c r="N40" i="8"/>
  <c r="H40" i="8"/>
  <c r="N39" i="8"/>
  <c r="H39" i="8"/>
  <c r="N38" i="8"/>
  <c r="H38" i="8"/>
  <c r="N37" i="8"/>
  <c r="H37" i="8"/>
  <c r="N36" i="8"/>
  <c r="H36" i="8"/>
  <c r="N35" i="8"/>
  <c r="H35" i="8"/>
  <c r="N34" i="8"/>
  <c r="H34" i="8"/>
  <c r="N33" i="8"/>
  <c r="H33" i="8"/>
  <c r="N32" i="8"/>
  <c r="H32" i="8"/>
  <c r="N31" i="8"/>
  <c r="H31" i="8"/>
  <c r="F9" i="19"/>
  <c r="U50" i="18"/>
  <c r="R21" i="17"/>
  <c r="E77" i="16"/>
  <c r="E51" i="16"/>
  <c r="P21" i="16"/>
  <c r="G135" i="14"/>
  <c r="E65" i="14"/>
  <c r="G56" i="12"/>
  <c r="G53" i="12"/>
  <c r="D62" i="11"/>
  <c r="D56" i="11"/>
  <c r="D43" i="11"/>
  <c r="D37" i="11"/>
  <c r="D31" i="11"/>
  <c r="N40" i="10"/>
  <c r="N37" i="10"/>
  <c r="N34" i="10"/>
  <c r="N31" i="10"/>
  <c r="N53" i="10"/>
  <c r="G21" i="9"/>
  <c r="M20" i="9"/>
  <c r="G18" i="9"/>
  <c r="M17" i="9"/>
  <c r="G15" i="9"/>
  <c r="M14" i="9"/>
  <c r="G12" i="9"/>
  <c r="M11" i="9"/>
  <c r="G9" i="9"/>
  <c r="H21" i="8"/>
  <c r="N20" i="8"/>
  <c r="H20" i="8"/>
  <c r="N19" i="8"/>
  <c r="H19" i="8"/>
  <c r="N18" i="8"/>
  <c r="H18" i="8"/>
  <c r="N17" i="8"/>
  <c r="H17" i="8"/>
  <c r="N16" i="8"/>
  <c r="H16" i="8"/>
  <c r="N15" i="8"/>
  <c r="H15" i="8"/>
  <c r="N14" i="8"/>
  <c r="H14" i="8"/>
  <c r="N13" i="8"/>
  <c r="H13" i="8"/>
  <c r="N12" i="8"/>
  <c r="H12" i="8"/>
  <c r="N11" i="8"/>
  <c r="H11" i="8"/>
  <c r="N10" i="8"/>
  <c r="H10" i="8"/>
  <c r="N9" i="8"/>
  <c r="H9" i="8"/>
  <c r="E160" i="23"/>
  <c r="F119" i="15"/>
  <c r="F77" i="15"/>
  <c r="E149" i="14"/>
  <c r="G93" i="14"/>
  <c r="E160" i="13"/>
  <c r="E132" i="13"/>
  <c r="E90" i="13"/>
  <c r="E34" i="13"/>
  <c r="A14" i="12"/>
  <c r="U13" i="12"/>
  <c r="C56" i="12"/>
  <c r="G54" i="12"/>
  <c r="C53" i="12"/>
  <c r="G55" i="12"/>
  <c r="D66" i="11"/>
  <c r="D60" i="11"/>
  <c r="D54" i="11"/>
  <c r="D16" i="11"/>
  <c r="D10" i="11"/>
  <c r="N42" i="10"/>
  <c r="N39" i="10"/>
  <c r="N36" i="10"/>
  <c r="N33" i="10"/>
  <c r="M21" i="9"/>
  <c r="G19" i="9"/>
  <c r="M18" i="9"/>
  <c r="G16" i="9"/>
  <c r="M15" i="9"/>
  <c r="G13" i="9"/>
  <c r="M12" i="9"/>
  <c r="G10" i="9"/>
  <c r="M9" i="9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J170" i="26"/>
  <c r="V105" i="19"/>
  <c r="U92" i="18"/>
  <c r="N48" i="18"/>
  <c r="M20" i="18"/>
  <c r="E133" i="16"/>
  <c r="E107" i="16"/>
  <c r="P9" i="16"/>
  <c r="C161" i="16"/>
  <c r="F133" i="15"/>
  <c r="C119" i="15"/>
  <c r="T21" i="15"/>
  <c r="F163" i="14"/>
  <c r="D93" i="14"/>
  <c r="F37" i="14"/>
  <c r="N23" i="14"/>
  <c r="U56" i="12"/>
  <c r="U53" i="12"/>
  <c r="U50" i="12"/>
  <c r="U47" i="12"/>
  <c r="U44" i="12"/>
  <c r="U41" i="12"/>
  <c r="U38" i="12"/>
  <c r="U35" i="12"/>
  <c r="U32" i="12"/>
  <c r="U29" i="12"/>
  <c r="U26" i="12"/>
  <c r="U23" i="12"/>
  <c r="U20" i="12"/>
  <c r="U17" i="12"/>
  <c r="F55" i="12"/>
  <c r="D65" i="11"/>
  <c r="D59" i="11"/>
  <c r="D40" i="11"/>
  <c r="D34" i="11"/>
  <c r="K21" i="9"/>
  <c r="O19" i="9"/>
  <c r="E19" i="9"/>
  <c r="Q17" i="9"/>
  <c r="I17" i="9"/>
  <c r="K15" i="9"/>
  <c r="O13" i="9"/>
  <c r="E13" i="9"/>
  <c r="Q11" i="9"/>
  <c r="I11" i="9"/>
  <c r="K9" i="9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F62" i="18"/>
  <c r="D160" i="18"/>
  <c r="C21" i="17"/>
  <c r="G21" i="16"/>
  <c r="E107" i="14"/>
  <c r="E76" i="13"/>
  <c r="A15" i="12"/>
  <c r="U9" i="12"/>
  <c r="D108" i="11"/>
  <c r="D85" i="11"/>
  <c r="D36" i="11"/>
  <c r="D11" i="11"/>
  <c r="O21" i="9"/>
  <c r="Q19" i="9"/>
  <c r="E9" i="9"/>
  <c r="L41" i="8"/>
  <c r="L38" i="8"/>
  <c r="L35" i="8"/>
  <c r="L32" i="8"/>
  <c r="E105" i="15"/>
  <c r="A11" i="12"/>
  <c r="D102" i="11"/>
  <c r="E21" i="9"/>
  <c r="K17" i="9"/>
  <c r="Q13" i="9"/>
  <c r="L39" i="8"/>
  <c r="L36" i="8"/>
  <c r="E18" i="2"/>
  <c r="C161" i="22"/>
  <c r="F104" i="18"/>
  <c r="D135" i="14"/>
  <c r="A13" i="12"/>
  <c r="F53" i="12"/>
  <c r="D105" i="11"/>
  <c r="D82" i="11"/>
  <c r="D33" i="11"/>
  <c r="D8" i="11"/>
  <c r="N107" i="10"/>
  <c r="N104" i="10"/>
  <c r="N101" i="10"/>
  <c r="N98" i="10"/>
  <c r="N35" i="10"/>
  <c r="M19" i="9"/>
  <c r="G14" i="9"/>
  <c r="M10" i="9"/>
  <c r="L100" i="8"/>
  <c r="L97" i="8"/>
  <c r="J21" i="8"/>
  <c r="J18" i="8"/>
  <c r="J15" i="8"/>
  <c r="J12" i="8"/>
  <c r="J9" i="8"/>
  <c r="C163" i="14"/>
  <c r="U14" i="12"/>
  <c r="U7" i="12"/>
  <c r="D79" i="11"/>
  <c r="I19" i="9"/>
  <c r="O15" i="9"/>
  <c r="L190" i="8"/>
  <c r="N103" i="8"/>
  <c r="L42" i="8"/>
  <c r="L33" i="8"/>
  <c r="E17" i="2"/>
  <c r="G9" i="16"/>
  <c r="E104" i="13"/>
  <c r="E48" i="13"/>
  <c r="U12" i="12"/>
  <c r="F56" i="12"/>
  <c r="D20" i="11"/>
  <c r="N106" i="10"/>
  <c r="N103" i="10"/>
  <c r="N100" i="10"/>
  <c r="N97" i="10"/>
  <c r="N41" i="10"/>
  <c r="N32" i="10"/>
  <c r="G17" i="9"/>
  <c r="M13" i="9"/>
  <c r="L98" i="8"/>
  <c r="J19" i="8"/>
  <c r="J16" i="8"/>
  <c r="J13" i="8"/>
  <c r="J10" i="8"/>
  <c r="M148" i="18"/>
  <c r="E21" i="15"/>
  <c r="F79" i="14"/>
  <c r="D111" i="11"/>
  <c r="D88" i="11"/>
  <c r="D39" i="11"/>
  <c r="D14" i="11"/>
  <c r="N108" i="10"/>
  <c r="N105" i="10"/>
  <c r="N102" i="10"/>
  <c r="N99" i="10"/>
  <c r="N38" i="10"/>
  <c r="G20" i="9"/>
  <c r="M16" i="9"/>
  <c r="G11" i="9"/>
  <c r="J277" i="8"/>
  <c r="N235" i="8"/>
  <c r="J145" i="8"/>
  <c r="L126" i="8"/>
  <c r="N124" i="8"/>
  <c r="J106" i="8"/>
  <c r="L99" i="8"/>
  <c r="J20" i="8"/>
  <c r="J17" i="8"/>
  <c r="J14" i="8"/>
  <c r="J11" i="8"/>
  <c r="S160" i="18"/>
  <c r="M106" i="18"/>
  <c r="F35" i="15"/>
  <c r="Q21" i="15"/>
  <c r="G51" i="14"/>
  <c r="C37" i="14"/>
  <c r="U10" i="12"/>
  <c r="D54" i="12"/>
  <c r="D42" i="11"/>
  <c r="D17" i="11"/>
  <c r="E15" i="9"/>
  <c r="I13" i="9"/>
  <c r="K11" i="9"/>
  <c r="O9" i="9"/>
  <c r="N106" i="8"/>
  <c r="L43" i="8"/>
  <c r="L40" i="8"/>
  <c r="L37" i="8"/>
  <c r="L34" i="8"/>
  <c r="L31" i="8"/>
  <c r="L196" i="8"/>
  <c r="J280" i="8"/>
  <c r="N172" i="8"/>
  <c r="L43" i="10"/>
  <c r="G57" i="12" l="1"/>
  <c r="D161" i="22"/>
  <c r="D90" i="23"/>
  <c r="G132" i="23"/>
  <c r="G160" i="23"/>
  <c r="D60" i="24"/>
  <c r="D82" i="24"/>
  <c r="D88" i="24"/>
  <c r="D102" i="24"/>
  <c r="D108" i="24"/>
  <c r="L11" i="26"/>
  <c r="L12" i="26"/>
  <c r="H19" i="26"/>
  <c r="H20" i="26"/>
  <c r="J21" i="26"/>
  <c r="J37" i="26"/>
  <c r="J38" i="26"/>
  <c r="L98" i="26"/>
  <c r="J103" i="26"/>
  <c r="H105" i="26"/>
  <c r="N106" i="26"/>
  <c r="N120" i="26"/>
  <c r="H165" i="26"/>
  <c r="N187" i="26"/>
  <c r="N191" i="26"/>
  <c r="N195" i="26"/>
  <c r="N230" i="26"/>
  <c r="N234" i="26"/>
  <c r="N238" i="26"/>
  <c r="J267" i="26"/>
  <c r="J31" i="27"/>
  <c r="J40" i="27"/>
  <c r="L74" i="2"/>
  <c r="K74" i="2"/>
  <c r="J74" i="2"/>
  <c r="L141" i="3"/>
  <c r="K141" i="3"/>
  <c r="J141" i="3"/>
  <c r="J14" i="5"/>
  <c r="M14" i="5"/>
  <c r="L14" i="5"/>
  <c r="K14" i="5"/>
  <c r="I14" i="5"/>
  <c r="L174" i="3"/>
  <c r="K174" i="3"/>
  <c r="J174" i="3"/>
  <c r="R41" i="6"/>
  <c r="Q41" i="6"/>
  <c r="S41" i="6"/>
  <c r="L32" i="2"/>
  <c r="K32" i="2"/>
  <c r="J32" i="2"/>
  <c r="G43" i="2"/>
  <c r="L7" i="3"/>
  <c r="K7" i="3"/>
  <c r="J7" i="3"/>
  <c r="L26" i="3"/>
  <c r="K26" i="3"/>
  <c r="J26" i="3"/>
  <c r="K46" i="3"/>
  <c r="J46" i="3"/>
  <c r="L84" i="3"/>
  <c r="K84" i="3"/>
  <c r="J84" i="3"/>
  <c r="L112" i="3"/>
  <c r="K112" i="3"/>
  <c r="I123" i="3"/>
  <c r="J112" i="3"/>
  <c r="K57" i="3"/>
  <c r="J57" i="3"/>
  <c r="K41" i="3"/>
  <c r="J41" i="3"/>
  <c r="K55" i="3"/>
  <c r="J55" i="3"/>
  <c r="K59" i="3"/>
  <c r="J59" i="3"/>
  <c r="F118" i="3"/>
  <c r="F119" i="3"/>
  <c r="H188" i="3"/>
  <c r="H189" i="3"/>
  <c r="Q12" i="6"/>
  <c r="S12" i="6"/>
  <c r="R12" i="6"/>
  <c r="I16" i="6"/>
  <c r="K16" i="6"/>
  <c r="J16" i="6"/>
  <c r="I23" i="6"/>
  <c r="K23" i="6"/>
  <c r="J23" i="6"/>
  <c r="I35" i="6"/>
  <c r="K35" i="6"/>
  <c r="J35" i="6"/>
  <c r="I47" i="6"/>
  <c r="K47" i="6"/>
  <c r="J47" i="6"/>
  <c r="J9" i="13"/>
  <c r="K9" i="13"/>
  <c r="I9" i="13"/>
  <c r="J11" i="13"/>
  <c r="K11" i="13"/>
  <c r="I11" i="13"/>
  <c r="J13" i="13"/>
  <c r="K13" i="13"/>
  <c r="I13" i="13"/>
  <c r="J15" i="13"/>
  <c r="K15" i="13"/>
  <c r="I15" i="13"/>
  <c r="J17" i="13"/>
  <c r="K17" i="13"/>
  <c r="I17" i="13"/>
  <c r="J19" i="13"/>
  <c r="K19" i="13"/>
  <c r="I19" i="13"/>
  <c r="J22" i="13"/>
  <c r="K22" i="13"/>
  <c r="I22" i="13"/>
  <c r="J26" i="13"/>
  <c r="K26" i="13"/>
  <c r="I26" i="13"/>
  <c r="H34" i="13"/>
  <c r="J30" i="13"/>
  <c r="K30" i="13"/>
  <c r="I30" i="13"/>
  <c r="J39" i="13"/>
  <c r="K39" i="13"/>
  <c r="I39" i="13"/>
  <c r="J43" i="13"/>
  <c r="K43" i="13"/>
  <c r="I43" i="13"/>
  <c r="J47" i="13"/>
  <c r="K47" i="13"/>
  <c r="I47" i="13"/>
  <c r="J52" i="13"/>
  <c r="K52" i="13"/>
  <c r="I52" i="13"/>
  <c r="J56" i="13"/>
  <c r="K56" i="13"/>
  <c r="I56" i="13"/>
  <c r="J60" i="13"/>
  <c r="K60" i="13"/>
  <c r="I60" i="13"/>
  <c r="J65" i="13"/>
  <c r="K65" i="13"/>
  <c r="I65" i="13"/>
  <c r="J69" i="13"/>
  <c r="K69" i="13"/>
  <c r="I69" i="13"/>
  <c r="J73" i="13"/>
  <c r="K73" i="13"/>
  <c r="I73" i="13"/>
  <c r="J78" i="13"/>
  <c r="K78" i="13"/>
  <c r="I78" i="13"/>
  <c r="J82" i="13"/>
  <c r="K82" i="13"/>
  <c r="I82" i="13"/>
  <c r="H90" i="13"/>
  <c r="J86" i="13"/>
  <c r="K86" i="13"/>
  <c r="I86" i="13"/>
  <c r="J95" i="13"/>
  <c r="K95" i="13"/>
  <c r="I95" i="13"/>
  <c r="J99" i="13"/>
  <c r="K99" i="13"/>
  <c r="I99" i="13"/>
  <c r="J103" i="13"/>
  <c r="K103" i="13"/>
  <c r="I103" i="13"/>
  <c r="J108" i="13"/>
  <c r="K108" i="13"/>
  <c r="I108" i="13"/>
  <c r="J112" i="13"/>
  <c r="K112" i="13"/>
  <c r="I112" i="13"/>
  <c r="J116" i="13"/>
  <c r="K116" i="13"/>
  <c r="I116" i="13"/>
  <c r="J122" i="13"/>
  <c r="I122" i="13"/>
  <c r="K122" i="13"/>
  <c r="J128" i="13"/>
  <c r="I128" i="13"/>
  <c r="K128" i="13"/>
  <c r="J135" i="13"/>
  <c r="I135" i="13"/>
  <c r="K135" i="13"/>
  <c r="J141" i="13"/>
  <c r="I141" i="13"/>
  <c r="K141" i="13"/>
  <c r="J148" i="13"/>
  <c r="I148" i="13"/>
  <c r="K148" i="13"/>
  <c r="J154" i="13"/>
  <c r="I154" i="13"/>
  <c r="K154" i="13"/>
  <c r="J15" i="14"/>
  <c r="I15" i="14"/>
  <c r="H23" i="14"/>
  <c r="M16" i="15"/>
  <c r="L16" i="15"/>
  <c r="J16" i="15"/>
  <c r="I16" i="15"/>
  <c r="K16" i="15"/>
  <c r="L159" i="15"/>
  <c r="K159" i="15"/>
  <c r="J159" i="15"/>
  <c r="M159" i="15"/>
  <c r="I159" i="15"/>
  <c r="Q129" i="18"/>
  <c r="Q13" i="19"/>
  <c r="O21" i="19"/>
  <c r="P13" i="19"/>
  <c r="L49" i="2"/>
  <c r="K49" i="2"/>
  <c r="J49" i="2"/>
  <c r="G42" i="2"/>
  <c r="L34" i="3"/>
  <c r="K34" i="3"/>
  <c r="J34" i="3"/>
  <c r="I113" i="3"/>
  <c r="L102" i="3"/>
  <c r="K102" i="3"/>
  <c r="J102" i="3"/>
  <c r="I122" i="3"/>
  <c r="L111" i="3"/>
  <c r="K111" i="3"/>
  <c r="J111" i="3"/>
  <c r="L143" i="3"/>
  <c r="K143" i="3"/>
  <c r="J143" i="3"/>
  <c r="G188" i="3"/>
  <c r="M7" i="5"/>
  <c r="J7" i="5"/>
  <c r="I7" i="5"/>
  <c r="L7" i="5"/>
  <c r="K7" i="5"/>
  <c r="M15" i="5"/>
  <c r="J15" i="5"/>
  <c r="I15" i="5"/>
  <c r="L15" i="5"/>
  <c r="K15" i="5"/>
  <c r="I20" i="5"/>
  <c r="L20" i="5"/>
  <c r="K20" i="5"/>
  <c r="M20" i="5"/>
  <c r="J20" i="5"/>
  <c r="I32" i="5"/>
  <c r="L32" i="5"/>
  <c r="K32" i="5"/>
  <c r="M32" i="5"/>
  <c r="J32" i="5"/>
  <c r="I44" i="5"/>
  <c r="L44" i="5"/>
  <c r="K44" i="5"/>
  <c r="M44" i="5"/>
  <c r="J44" i="5"/>
  <c r="J11" i="6"/>
  <c r="K11" i="6"/>
  <c r="I11" i="6"/>
  <c r="J18" i="6"/>
  <c r="K18" i="6"/>
  <c r="I18" i="6"/>
  <c r="R26" i="6"/>
  <c r="S26" i="6"/>
  <c r="Q26" i="6"/>
  <c r="J30" i="6"/>
  <c r="K30" i="6"/>
  <c r="I30" i="6"/>
  <c r="R38" i="6"/>
  <c r="S38" i="6"/>
  <c r="Q38" i="6"/>
  <c r="J42" i="6"/>
  <c r="K42" i="6"/>
  <c r="I42" i="6"/>
  <c r="R50" i="6"/>
  <c r="S50" i="6"/>
  <c r="Q50" i="6"/>
  <c r="V6" i="12"/>
  <c r="T6" i="12"/>
  <c r="S6" i="12"/>
  <c r="J121" i="13"/>
  <c r="I121" i="13"/>
  <c r="K121" i="13"/>
  <c r="J127" i="13"/>
  <c r="I127" i="13"/>
  <c r="K127" i="13"/>
  <c r="J134" i="13"/>
  <c r="I134" i="13"/>
  <c r="K134" i="13"/>
  <c r="J140" i="13"/>
  <c r="I140" i="13"/>
  <c r="K140" i="13"/>
  <c r="J153" i="13"/>
  <c r="I153" i="13"/>
  <c r="K153" i="13"/>
  <c r="J159" i="13"/>
  <c r="I159" i="13"/>
  <c r="K159" i="13"/>
  <c r="J18" i="14"/>
  <c r="I18" i="14"/>
  <c r="J34" i="14"/>
  <c r="I34" i="14"/>
  <c r="J63" i="14"/>
  <c r="I63" i="14"/>
  <c r="J92" i="14"/>
  <c r="I92" i="14"/>
  <c r="J151" i="14"/>
  <c r="I151" i="14"/>
  <c r="X15" i="15"/>
  <c r="W15" i="15"/>
  <c r="Y15" i="15"/>
  <c r="J26" i="15"/>
  <c r="I26" i="15"/>
  <c r="M26" i="15"/>
  <c r="L26" i="15"/>
  <c r="K26" i="15"/>
  <c r="L8" i="2"/>
  <c r="K8" i="2"/>
  <c r="J8" i="2"/>
  <c r="L11" i="2"/>
  <c r="K11" i="2"/>
  <c r="J11" i="2"/>
  <c r="K21" i="2"/>
  <c r="J21" i="2"/>
  <c r="L38" i="2"/>
  <c r="K38" i="2"/>
  <c r="J38" i="2"/>
  <c r="K39" i="2"/>
  <c r="J39" i="2"/>
  <c r="I42" i="2"/>
  <c r="L39" i="2"/>
  <c r="L13" i="3"/>
  <c r="K13" i="3"/>
  <c r="J13" i="3"/>
  <c r="L14" i="3"/>
  <c r="K14" i="3"/>
  <c r="J14" i="3"/>
  <c r="L22" i="3"/>
  <c r="K22" i="3"/>
  <c r="J22" i="3"/>
  <c r="L23" i="3"/>
  <c r="K23" i="3"/>
  <c r="J23" i="3"/>
  <c r="L31" i="3"/>
  <c r="J31" i="3"/>
  <c r="K31" i="3"/>
  <c r="L32" i="3"/>
  <c r="K32" i="3"/>
  <c r="J32" i="3"/>
  <c r="K40" i="3"/>
  <c r="J40" i="3"/>
  <c r="K54" i="3"/>
  <c r="J54" i="3"/>
  <c r="J58" i="3"/>
  <c r="K58" i="3"/>
  <c r="L63" i="3"/>
  <c r="K63" i="3"/>
  <c r="J63" i="3"/>
  <c r="L64" i="3"/>
  <c r="K64" i="3"/>
  <c r="J64" i="3"/>
  <c r="L72" i="3"/>
  <c r="J72" i="3"/>
  <c r="K72" i="3"/>
  <c r="E115" i="3"/>
  <c r="E116" i="3"/>
  <c r="G186" i="3"/>
  <c r="S9" i="5"/>
  <c r="V9" i="5"/>
  <c r="U9" i="5"/>
  <c r="T9" i="5"/>
  <c r="W9" i="5"/>
  <c r="S13" i="5"/>
  <c r="V13" i="5"/>
  <c r="U13" i="5"/>
  <c r="T13" i="5"/>
  <c r="W13" i="5"/>
  <c r="K49" i="6"/>
  <c r="I49" i="6"/>
  <c r="J49" i="6"/>
  <c r="J14" i="6"/>
  <c r="I14" i="6"/>
  <c r="K14" i="6"/>
  <c r="J33" i="6"/>
  <c r="I33" i="6"/>
  <c r="K33" i="6"/>
  <c r="J45" i="6"/>
  <c r="I45" i="6"/>
  <c r="K45" i="6"/>
  <c r="J123" i="13"/>
  <c r="I123" i="13"/>
  <c r="K123" i="13"/>
  <c r="J129" i="13"/>
  <c r="I129" i="13"/>
  <c r="K129" i="13"/>
  <c r="J136" i="13"/>
  <c r="I136" i="13"/>
  <c r="K136" i="13"/>
  <c r="J142" i="13"/>
  <c r="I142" i="13"/>
  <c r="K142" i="13"/>
  <c r="J149" i="13"/>
  <c r="I149" i="13"/>
  <c r="K149" i="13"/>
  <c r="J155" i="13"/>
  <c r="I155" i="13"/>
  <c r="K155" i="13"/>
  <c r="J12" i="14"/>
  <c r="I12" i="14"/>
  <c r="J44" i="14"/>
  <c r="I44" i="14"/>
  <c r="J73" i="14"/>
  <c r="I73" i="14"/>
  <c r="J102" i="14"/>
  <c r="I102" i="14"/>
  <c r="J131" i="14"/>
  <c r="I131" i="14"/>
  <c r="J160" i="14"/>
  <c r="I160" i="14"/>
  <c r="M103" i="15"/>
  <c r="L103" i="15"/>
  <c r="J103" i="15"/>
  <c r="I103" i="15"/>
  <c r="K103" i="15"/>
  <c r="L140" i="15"/>
  <c r="K140" i="15"/>
  <c r="J140" i="15"/>
  <c r="M140" i="15"/>
  <c r="I140" i="15"/>
  <c r="X154" i="18"/>
  <c r="I111" i="18"/>
  <c r="L17" i="3"/>
  <c r="K17" i="3"/>
  <c r="J17" i="3"/>
  <c r="L25" i="3"/>
  <c r="K25" i="3"/>
  <c r="J25" i="3"/>
  <c r="K60" i="3"/>
  <c r="J60" i="3"/>
  <c r="L66" i="3"/>
  <c r="K66" i="3"/>
  <c r="J66" i="3"/>
  <c r="L93" i="3"/>
  <c r="K93" i="3"/>
  <c r="J93" i="3"/>
  <c r="E119" i="3"/>
  <c r="L8" i="3"/>
  <c r="K8" i="3"/>
  <c r="J8" i="3"/>
  <c r="L16" i="3"/>
  <c r="K16" i="3"/>
  <c r="J16" i="3"/>
  <c r="L67" i="3"/>
  <c r="K67" i="3"/>
  <c r="J67" i="3"/>
  <c r="L85" i="3"/>
  <c r="K85" i="3"/>
  <c r="J85" i="3"/>
  <c r="I114" i="3"/>
  <c r="L103" i="3"/>
  <c r="K103" i="3"/>
  <c r="J103" i="3"/>
  <c r="G120" i="3"/>
  <c r="L135" i="3"/>
  <c r="K135" i="3"/>
  <c r="J135" i="3"/>
  <c r="L144" i="3"/>
  <c r="K144" i="3"/>
  <c r="J144" i="3"/>
  <c r="E187" i="3"/>
  <c r="H194" i="3"/>
  <c r="M11" i="5"/>
  <c r="J11" i="5"/>
  <c r="I11" i="5"/>
  <c r="L11" i="5"/>
  <c r="K11" i="5"/>
  <c r="I24" i="5"/>
  <c r="L24" i="5"/>
  <c r="K24" i="5"/>
  <c r="M24" i="5"/>
  <c r="J24" i="5"/>
  <c r="I28" i="5"/>
  <c r="L28" i="5"/>
  <c r="K28" i="5"/>
  <c r="M28" i="5"/>
  <c r="J28" i="5"/>
  <c r="I48" i="5"/>
  <c r="L48" i="5"/>
  <c r="K48" i="5"/>
  <c r="M48" i="5"/>
  <c r="J48" i="5"/>
  <c r="I52" i="5"/>
  <c r="L52" i="5"/>
  <c r="K52" i="5"/>
  <c r="M52" i="5"/>
  <c r="J52" i="5"/>
  <c r="K9" i="2"/>
  <c r="J9" i="2"/>
  <c r="L9" i="2"/>
  <c r="K12" i="2"/>
  <c r="J12" i="2"/>
  <c r="L12" i="2"/>
  <c r="K19" i="2"/>
  <c r="J19" i="2"/>
  <c r="L59" i="2"/>
  <c r="K59" i="2"/>
  <c r="J59" i="2"/>
  <c r="E67" i="2"/>
  <c r="F115" i="3"/>
  <c r="M9" i="5"/>
  <c r="J9" i="5"/>
  <c r="I9" i="5"/>
  <c r="L9" i="5"/>
  <c r="K9" i="5"/>
  <c r="M13" i="5"/>
  <c r="J13" i="5"/>
  <c r="I13" i="5"/>
  <c r="L13" i="5"/>
  <c r="K13" i="5"/>
  <c r="I30" i="5"/>
  <c r="L30" i="5"/>
  <c r="K30" i="5"/>
  <c r="M30" i="5"/>
  <c r="J30" i="5"/>
  <c r="I34" i="5"/>
  <c r="L34" i="5"/>
  <c r="K34" i="5"/>
  <c r="M34" i="5"/>
  <c r="J34" i="5"/>
  <c r="I38" i="5"/>
  <c r="L38" i="5"/>
  <c r="K38" i="5"/>
  <c r="M38" i="5"/>
  <c r="J38" i="5"/>
  <c r="I42" i="5"/>
  <c r="L42" i="5"/>
  <c r="K42" i="5"/>
  <c r="M42" i="5"/>
  <c r="J42" i="5"/>
  <c r="I50" i="5"/>
  <c r="L50" i="5"/>
  <c r="K50" i="5"/>
  <c r="M50" i="5"/>
  <c r="J50" i="5"/>
  <c r="J24" i="6"/>
  <c r="K24" i="6"/>
  <c r="I24" i="6"/>
  <c r="R32" i="6"/>
  <c r="S32" i="6"/>
  <c r="Q32" i="6"/>
  <c r="J130" i="13"/>
  <c r="I130" i="13"/>
  <c r="K130" i="13"/>
  <c r="J143" i="13"/>
  <c r="I143" i="13"/>
  <c r="K143" i="13"/>
  <c r="J156" i="13"/>
  <c r="I156" i="13"/>
  <c r="K156" i="13"/>
  <c r="M55" i="15"/>
  <c r="H63" i="15"/>
  <c r="L55" i="15"/>
  <c r="J55" i="15"/>
  <c r="I55" i="15"/>
  <c r="K55" i="15"/>
  <c r="J81" i="15"/>
  <c r="I81" i="15"/>
  <c r="L81" i="15"/>
  <c r="K81" i="15"/>
  <c r="M81" i="15"/>
  <c r="I69" i="18"/>
  <c r="K13" i="2"/>
  <c r="J13" i="2"/>
  <c r="L13" i="2"/>
  <c r="L24" i="2"/>
  <c r="J24" i="2"/>
  <c r="K24" i="2"/>
  <c r="L35" i="2"/>
  <c r="J35" i="2"/>
  <c r="K35" i="2"/>
  <c r="E43" i="2"/>
  <c r="L47" i="2"/>
  <c r="J47" i="2"/>
  <c r="K47" i="2"/>
  <c r="L11" i="3"/>
  <c r="K11" i="3"/>
  <c r="J11" i="3"/>
  <c r="L20" i="3"/>
  <c r="K20" i="3"/>
  <c r="J20" i="3"/>
  <c r="L29" i="3"/>
  <c r="K29" i="3"/>
  <c r="J29" i="3"/>
  <c r="L38" i="3"/>
  <c r="K38" i="3"/>
  <c r="J38" i="3"/>
  <c r="K48" i="3"/>
  <c r="J48" i="3"/>
  <c r="L70" i="3"/>
  <c r="K70" i="3"/>
  <c r="J70" i="3"/>
  <c r="G115" i="3"/>
  <c r="E121" i="3"/>
  <c r="E122" i="3"/>
  <c r="E189" i="3"/>
  <c r="E190" i="3"/>
  <c r="G191" i="3"/>
  <c r="H192" i="3"/>
  <c r="H195" i="3"/>
  <c r="J8" i="5"/>
  <c r="M8" i="5"/>
  <c r="L8" i="5"/>
  <c r="I8" i="5"/>
  <c r="K8" i="5"/>
  <c r="J12" i="5"/>
  <c r="M12" i="5"/>
  <c r="L12" i="5"/>
  <c r="I12" i="5"/>
  <c r="K12" i="5"/>
  <c r="J16" i="5"/>
  <c r="M16" i="5"/>
  <c r="L16" i="5"/>
  <c r="I16" i="5"/>
  <c r="K16" i="5"/>
  <c r="I10" i="6"/>
  <c r="K10" i="6"/>
  <c r="J10" i="6"/>
  <c r="I29" i="6"/>
  <c r="K29" i="6"/>
  <c r="J29" i="6"/>
  <c r="I41" i="6"/>
  <c r="K41" i="6"/>
  <c r="J41" i="6"/>
  <c r="V9" i="12"/>
  <c r="T9" i="12"/>
  <c r="S9" i="12"/>
  <c r="J8" i="13"/>
  <c r="K8" i="13"/>
  <c r="I8" i="13"/>
  <c r="J10" i="13"/>
  <c r="K10" i="13"/>
  <c r="I10" i="13"/>
  <c r="J12" i="13"/>
  <c r="K12" i="13"/>
  <c r="I12" i="13"/>
  <c r="H20" i="13"/>
  <c r="J14" i="13"/>
  <c r="K14" i="13"/>
  <c r="I14" i="13"/>
  <c r="J16" i="13"/>
  <c r="K16" i="13"/>
  <c r="I16" i="13"/>
  <c r="J18" i="13"/>
  <c r="K18" i="13"/>
  <c r="I18" i="13"/>
  <c r="J24" i="13"/>
  <c r="K24" i="13"/>
  <c r="I24" i="13"/>
  <c r="J28" i="13"/>
  <c r="K28" i="13"/>
  <c r="I28" i="13"/>
  <c r="J32" i="13"/>
  <c r="K32" i="13"/>
  <c r="I32" i="13"/>
  <c r="J37" i="13"/>
  <c r="K37" i="13"/>
  <c r="I37" i="13"/>
  <c r="J41" i="13"/>
  <c r="K41" i="13"/>
  <c r="I41" i="13"/>
  <c r="J45" i="13"/>
  <c r="K45" i="13"/>
  <c r="I45" i="13"/>
  <c r="J50" i="13"/>
  <c r="K50" i="13"/>
  <c r="I50" i="13"/>
  <c r="J54" i="13"/>
  <c r="K54" i="13"/>
  <c r="I54" i="13"/>
  <c r="H62" i="13"/>
  <c r="J58" i="13"/>
  <c r="K58" i="13"/>
  <c r="I58" i="13"/>
  <c r="J67" i="13"/>
  <c r="K67" i="13"/>
  <c r="I67" i="13"/>
  <c r="J71" i="13"/>
  <c r="K71" i="13"/>
  <c r="I71" i="13"/>
  <c r="J75" i="13"/>
  <c r="K75" i="13"/>
  <c r="I75" i="13"/>
  <c r="J80" i="13"/>
  <c r="K80" i="13"/>
  <c r="I80" i="13"/>
  <c r="J84" i="13"/>
  <c r="K84" i="13"/>
  <c r="I84" i="13"/>
  <c r="J88" i="13"/>
  <c r="K88" i="13"/>
  <c r="I88" i="13"/>
  <c r="J93" i="13"/>
  <c r="K93" i="13"/>
  <c r="I93" i="13"/>
  <c r="J97" i="13"/>
  <c r="K97" i="13"/>
  <c r="I97" i="13"/>
  <c r="J101" i="13"/>
  <c r="K101" i="13"/>
  <c r="I101" i="13"/>
  <c r="J106" i="13"/>
  <c r="K106" i="13"/>
  <c r="I106" i="13"/>
  <c r="J110" i="13"/>
  <c r="K110" i="13"/>
  <c r="I110" i="13"/>
  <c r="H118" i="13"/>
  <c r="J114" i="13"/>
  <c r="K114" i="13"/>
  <c r="I114" i="13"/>
  <c r="J125" i="13"/>
  <c r="I125" i="13"/>
  <c r="K125" i="13"/>
  <c r="J131" i="13"/>
  <c r="I131" i="13"/>
  <c r="K131" i="13"/>
  <c r="J138" i="13"/>
  <c r="I138" i="13"/>
  <c r="K138" i="13"/>
  <c r="H146" i="13"/>
  <c r="J144" i="13"/>
  <c r="I144" i="13"/>
  <c r="K144" i="13"/>
  <c r="J151" i="13"/>
  <c r="I151" i="13"/>
  <c r="K151" i="13"/>
  <c r="J157" i="13"/>
  <c r="I157" i="13"/>
  <c r="K157" i="13"/>
  <c r="J25" i="14"/>
  <c r="I25" i="14"/>
  <c r="J54" i="14"/>
  <c r="I54" i="14"/>
  <c r="J83" i="14"/>
  <c r="I83" i="14"/>
  <c r="J112" i="14"/>
  <c r="I112" i="14"/>
  <c r="J141" i="14"/>
  <c r="I141" i="14"/>
  <c r="H149" i="14"/>
  <c r="J45" i="15"/>
  <c r="I45" i="15"/>
  <c r="M45" i="15"/>
  <c r="L45" i="15"/>
  <c r="K45" i="15"/>
  <c r="K22" i="2"/>
  <c r="J22" i="2"/>
  <c r="L22" i="2"/>
  <c r="K33" i="2"/>
  <c r="J33" i="2"/>
  <c r="L33" i="2"/>
  <c r="K41" i="2"/>
  <c r="J41" i="2"/>
  <c r="L35" i="3"/>
  <c r="K35" i="3"/>
  <c r="J35" i="3"/>
  <c r="K42" i="3"/>
  <c r="J42" i="3"/>
  <c r="L94" i="3"/>
  <c r="K94" i="3"/>
  <c r="J94" i="3"/>
  <c r="E118" i="3"/>
  <c r="G121" i="3"/>
  <c r="E186" i="3"/>
  <c r="G189" i="3"/>
  <c r="U52" i="5"/>
  <c r="W52" i="5"/>
  <c r="S52" i="5"/>
  <c r="T52" i="5"/>
  <c r="V52" i="5"/>
  <c r="I36" i="5"/>
  <c r="L36" i="5"/>
  <c r="K36" i="5"/>
  <c r="M36" i="5"/>
  <c r="J36" i="5"/>
  <c r="I40" i="5"/>
  <c r="L40" i="5"/>
  <c r="K40" i="5"/>
  <c r="M40" i="5"/>
  <c r="J40" i="5"/>
  <c r="R7" i="6"/>
  <c r="S7" i="6"/>
  <c r="Q7" i="6"/>
  <c r="K58" i="2"/>
  <c r="J58" i="2"/>
  <c r="L58" i="2"/>
  <c r="K49" i="3"/>
  <c r="J49" i="3"/>
  <c r="K53" i="3"/>
  <c r="J53" i="3"/>
  <c r="F116" i="3"/>
  <c r="H186" i="3"/>
  <c r="I18" i="5"/>
  <c r="L18" i="5"/>
  <c r="K18" i="5"/>
  <c r="M18" i="5"/>
  <c r="J18" i="5"/>
  <c r="I22" i="5"/>
  <c r="L22" i="5"/>
  <c r="K22" i="5"/>
  <c r="M22" i="5"/>
  <c r="J22" i="5"/>
  <c r="I26" i="5"/>
  <c r="L26" i="5"/>
  <c r="K26" i="5"/>
  <c r="M26" i="5"/>
  <c r="J26" i="5"/>
  <c r="I46" i="5"/>
  <c r="L46" i="5"/>
  <c r="K46" i="5"/>
  <c r="M46" i="5"/>
  <c r="J46" i="5"/>
  <c r="R13" i="6"/>
  <c r="S13" i="6"/>
  <c r="Q13" i="6"/>
  <c r="R20" i="6"/>
  <c r="S20" i="6"/>
  <c r="Q20" i="6"/>
  <c r="J36" i="6"/>
  <c r="K36" i="6"/>
  <c r="I36" i="6"/>
  <c r="R44" i="6"/>
  <c r="S44" i="6"/>
  <c r="Q44" i="6"/>
  <c r="J48" i="6"/>
  <c r="K48" i="6"/>
  <c r="I48" i="6"/>
  <c r="J124" i="13"/>
  <c r="I124" i="13"/>
  <c r="K124" i="13"/>
  <c r="H132" i="13"/>
  <c r="J137" i="13"/>
  <c r="I137" i="13"/>
  <c r="K137" i="13"/>
  <c r="J150" i="13"/>
  <c r="I150" i="13"/>
  <c r="K150" i="13"/>
  <c r="L121" i="15"/>
  <c r="K121" i="15"/>
  <c r="J121" i="15"/>
  <c r="M121" i="15"/>
  <c r="I121" i="15"/>
  <c r="K36" i="2"/>
  <c r="J36" i="2"/>
  <c r="L36" i="2"/>
  <c r="K48" i="2"/>
  <c r="J48" i="2"/>
  <c r="L48" i="2"/>
  <c r="F67" i="2"/>
  <c r="J10" i="3"/>
  <c r="K10" i="3"/>
  <c r="L10" i="3"/>
  <c r="J19" i="3"/>
  <c r="K19" i="3"/>
  <c r="L19" i="3"/>
  <c r="J28" i="3"/>
  <c r="K28" i="3"/>
  <c r="L28" i="3"/>
  <c r="J37" i="3"/>
  <c r="K37" i="3"/>
  <c r="L37" i="3"/>
  <c r="J52" i="3"/>
  <c r="K52" i="3"/>
  <c r="J69" i="3"/>
  <c r="K69" i="3"/>
  <c r="L69" i="3"/>
  <c r="E113" i="3"/>
  <c r="G114" i="3"/>
  <c r="G123" i="3"/>
  <c r="J7" i="2"/>
  <c r="L7" i="2"/>
  <c r="K7" i="2"/>
  <c r="L10" i="2"/>
  <c r="K10" i="2"/>
  <c r="J10" i="2"/>
  <c r="K43" i="3"/>
  <c r="J43" i="3"/>
  <c r="K47" i="3"/>
  <c r="J47" i="3"/>
  <c r="K61" i="3"/>
  <c r="J61" i="3"/>
  <c r="F113" i="3"/>
  <c r="F121" i="3"/>
  <c r="F122" i="3"/>
  <c r="H191" i="3"/>
  <c r="G194" i="3"/>
  <c r="S7" i="5"/>
  <c r="V7" i="5"/>
  <c r="U7" i="5"/>
  <c r="T7" i="5"/>
  <c r="W7" i="5"/>
  <c r="S11" i="5"/>
  <c r="V11" i="5"/>
  <c r="U11" i="5"/>
  <c r="T11" i="5"/>
  <c r="W11" i="5"/>
  <c r="S15" i="5"/>
  <c r="V15" i="5"/>
  <c r="U15" i="5"/>
  <c r="T15" i="5"/>
  <c r="W15" i="5"/>
  <c r="J8" i="6"/>
  <c r="I8" i="6"/>
  <c r="K8" i="6"/>
  <c r="J27" i="6"/>
  <c r="I27" i="6"/>
  <c r="K27" i="6"/>
  <c r="J39" i="6"/>
  <c r="I39" i="6"/>
  <c r="K39" i="6"/>
  <c r="J51" i="6"/>
  <c r="I51" i="6"/>
  <c r="K51" i="6"/>
  <c r="J120" i="13"/>
  <c r="I120" i="13"/>
  <c r="K120" i="13"/>
  <c r="J126" i="13"/>
  <c r="I126" i="13"/>
  <c r="K126" i="13"/>
  <c r="J139" i="13"/>
  <c r="I139" i="13"/>
  <c r="K139" i="13"/>
  <c r="J145" i="13"/>
  <c r="I145" i="13"/>
  <c r="K145" i="13"/>
  <c r="J152" i="13"/>
  <c r="I152" i="13"/>
  <c r="K152" i="13"/>
  <c r="H160" i="13"/>
  <c r="J158" i="13"/>
  <c r="I158" i="13"/>
  <c r="K158" i="13"/>
  <c r="J21" i="14"/>
  <c r="I21" i="14"/>
  <c r="L115" i="15"/>
  <c r="K115" i="15"/>
  <c r="J115" i="15"/>
  <c r="I115" i="15"/>
  <c r="M115" i="15"/>
  <c r="J14" i="14"/>
  <c r="I14" i="14"/>
  <c r="J20" i="14"/>
  <c r="I20" i="14"/>
  <c r="J31" i="14"/>
  <c r="I31" i="14"/>
  <c r="J41" i="14"/>
  <c r="I41" i="14"/>
  <c r="J50" i="14"/>
  <c r="I50" i="14"/>
  <c r="J60" i="14"/>
  <c r="I60" i="14"/>
  <c r="J70" i="14"/>
  <c r="I70" i="14"/>
  <c r="J89" i="14"/>
  <c r="I89" i="14"/>
  <c r="J99" i="14"/>
  <c r="I99" i="14"/>
  <c r="H107" i="14"/>
  <c r="J109" i="14"/>
  <c r="I109" i="14"/>
  <c r="J118" i="14"/>
  <c r="I118" i="14"/>
  <c r="J128" i="14"/>
  <c r="I128" i="14"/>
  <c r="J138" i="14"/>
  <c r="I138" i="14"/>
  <c r="J147" i="14"/>
  <c r="I147" i="14"/>
  <c r="J157" i="14"/>
  <c r="I157" i="14"/>
  <c r="J32" i="15"/>
  <c r="I32" i="15"/>
  <c r="M32" i="15"/>
  <c r="L32" i="15"/>
  <c r="K32" i="15"/>
  <c r="J52" i="15"/>
  <c r="I52" i="15"/>
  <c r="M52" i="15"/>
  <c r="L52" i="15"/>
  <c r="K52" i="15"/>
  <c r="M84" i="15"/>
  <c r="L84" i="15"/>
  <c r="J84" i="15"/>
  <c r="I84" i="15"/>
  <c r="K84" i="15"/>
  <c r="K108" i="15"/>
  <c r="J108" i="15"/>
  <c r="L108" i="15"/>
  <c r="I108" i="15"/>
  <c r="M108" i="15"/>
  <c r="H161" i="15"/>
  <c r="L153" i="15"/>
  <c r="K153" i="15"/>
  <c r="J153" i="15"/>
  <c r="M153" i="15"/>
  <c r="I153" i="15"/>
  <c r="Q55" i="18"/>
  <c r="X108" i="18"/>
  <c r="T17" i="12"/>
  <c r="S17" i="12"/>
  <c r="V17" i="12"/>
  <c r="T20" i="12"/>
  <c r="S20" i="12"/>
  <c r="V20" i="12"/>
  <c r="T23" i="12"/>
  <c r="S23" i="12"/>
  <c r="V23" i="12"/>
  <c r="T26" i="12"/>
  <c r="S26" i="12"/>
  <c r="V26" i="12"/>
  <c r="T29" i="12"/>
  <c r="S29" i="12"/>
  <c r="V29" i="12"/>
  <c r="T32" i="12"/>
  <c r="S32" i="12"/>
  <c r="V32" i="12"/>
  <c r="T35" i="12"/>
  <c r="S35" i="12"/>
  <c r="V35" i="12"/>
  <c r="T38" i="12"/>
  <c r="S38" i="12"/>
  <c r="V38" i="12"/>
  <c r="T41" i="12"/>
  <c r="S41" i="12"/>
  <c r="V41" i="12"/>
  <c r="T44" i="12"/>
  <c r="S44" i="12"/>
  <c r="V44" i="12"/>
  <c r="T47" i="12"/>
  <c r="S47" i="12"/>
  <c r="V47" i="12"/>
  <c r="T50" i="12"/>
  <c r="S50" i="12"/>
  <c r="V50" i="12"/>
  <c r="T53" i="12"/>
  <c r="S53" i="12"/>
  <c r="V53" i="12"/>
  <c r="T56" i="12"/>
  <c r="S56" i="12"/>
  <c r="V56" i="12"/>
  <c r="J23" i="13"/>
  <c r="I23" i="13"/>
  <c r="K23" i="13"/>
  <c r="J27" i="13"/>
  <c r="I27" i="13"/>
  <c r="K27" i="13"/>
  <c r="J31" i="13"/>
  <c r="I31" i="13"/>
  <c r="K31" i="13"/>
  <c r="J36" i="13"/>
  <c r="I36" i="13"/>
  <c r="K36" i="13"/>
  <c r="J40" i="13"/>
  <c r="I40" i="13"/>
  <c r="H48" i="13"/>
  <c r="K40" i="13"/>
  <c r="J44" i="13"/>
  <c r="I44" i="13"/>
  <c r="K44" i="13"/>
  <c r="J53" i="13"/>
  <c r="I53" i="13"/>
  <c r="K53" i="13"/>
  <c r="J57" i="13"/>
  <c r="I57" i="13"/>
  <c r="K57" i="13"/>
  <c r="J61" i="13"/>
  <c r="I61" i="13"/>
  <c r="K61" i="13"/>
  <c r="J66" i="13"/>
  <c r="I66" i="13"/>
  <c r="K66" i="13"/>
  <c r="J70" i="13"/>
  <c r="I70" i="13"/>
  <c r="K70" i="13"/>
  <c r="J74" i="13"/>
  <c r="I74" i="13"/>
  <c r="K74" i="13"/>
  <c r="J79" i="13"/>
  <c r="I79" i="13"/>
  <c r="K79" i="13"/>
  <c r="J83" i="13"/>
  <c r="I83" i="13"/>
  <c r="K83" i="13"/>
  <c r="J87" i="13"/>
  <c r="I87" i="13"/>
  <c r="K87" i="13"/>
  <c r="J92" i="13"/>
  <c r="I92" i="13"/>
  <c r="K92" i="13"/>
  <c r="J96" i="13"/>
  <c r="I96" i="13"/>
  <c r="H104" i="13"/>
  <c r="K96" i="13"/>
  <c r="J100" i="13"/>
  <c r="I100" i="13"/>
  <c r="K100" i="13"/>
  <c r="J109" i="13"/>
  <c r="I109" i="13"/>
  <c r="K109" i="13"/>
  <c r="J113" i="13"/>
  <c r="I113" i="13"/>
  <c r="K113" i="13"/>
  <c r="J117" i="13"/>
  <c r="I117" i="13"/>
  <c r="K117" i="13"/>
  <c r="J13" i="14"/>
  <c r="I13" i="14"/>
  <c r="J19" i="14"/>
  <c r="I19" i="14"/>
  <c r="M10" i="15"/>
  <c r="L10" i="15"/>
  <c r="J10" i="15"/>
  <c r="I10" i="15"/>
  <c r="K10" i="15"/>
  <c r="M19" i="15"/>
  <c r="L19" i="15"/>
  <c r="J19" i="15"/>
  <c r="I19" i="15"/>
  <c r="K19" i="15"/>
  <c r="M29" i="15"/>
  <c r="L29" i="15"/>
  <c r="J29" i="15"/>
  <c r="I29" i="15"/>
  <c r="K29" i="15"/>
  <c r="M48" i="15"/>
  <c r="L48" i="15"/>
  <c r="J48" i="15"/>
  <c r="I48" i="15"/>
  <c r="K48" i="15"/>
  <c r="L76" i="15"/>
  <c r="K76" i="15"/>
  <c r="J76" i="15"/>
  <c r="I76" i="15"/>
  <c r="M76" i="15"/>
  <c r="J100" i="15"/>
  <c r="I100" i="15"/>
  <c r="L100" i="15"/>
  <c r="K100" i="15"/>
  <c r="M100" i="15"/>
  <c r="L146" i="15"/>
  <c r="K146" i="15"/>
  <c r="J146" i="15"/>
  <c r="M146" i="15"/>
  <c r="I146" i="15"/>
  <c r="Q71" i="18"/>
  <c r="X124" i="18"/>
  <c r="W132" i="18"/>
  <c r="V16" i="12"/>
  <c r="S16" i="12"/>
  <c r="T16" i="12"/>
  <c r="V19" i="12"/>
  <c r="S19" i="12"/>
  <c r="T19" i="12"/>
  <c r="V22" i="12"/>
  <c r="S22" i="12"/>
  <c r="T22" i="12"/>
  <c r="V25" i="12"/>
  <c r="S25" i="12"/>
  <c r="T25" i="12"/>
  <c r="V28" i="12"/>
  <c r="S28" i="12"/>
  <c r="T28" i="12"/>
  <c r="V31" i="12"/>
  <c r="S31" i="12"/>
  <c r="T31" i="12"/>
  <c r="V34" i="12"/>
  <c r="S34" i="12"/>
  <c r="T34" i="12"/>
  <c r="V37" i="12"/>
  <c r="S37" i="12"/>
  <c r="T37" i="12"/>
  <c r="V40" i="12"/>
  <c r="S40" i="12"/>
  <c r="T40" i="12"/>
  <c r="V43" i="12"/>
  <c r="S43" i="12"/>
  <c r="T43" i="12"/>
  <c r="V46" i="12"/>
  <c r="S46" i="12"/>
  <c r="T46" i="12"/>
  <c r="V49" i="12"/>
  <c r="S49" i="12"/>
  <c r="T49" i="12"/>
  <c r="V52" i="12"/>
  <c r="S52" i="12"/>
  <c r="T52" i="12"/>
  <c r="V55" i="12"/>
  <c r="S55" i="12"/>
  <c r="T55" i="12"/>
  <c r="J11" i="14"/>
  <c r="I11" i="14"/>
  <c r="J17" i="14"/>
  <c r="I17" i="14"/>
  <c r="M13" i="15"/>
  <c r="H21" i="15"/>
  <c r="L13" i="15"/>
  <c r="J13" i="15"/>
  <c r="I13" i="15"/>
  <c r="K13" i="15"/>
  <c r="M23" i="15"/>
  <c r="L23" i="15"/>
  <c r="J23" i="15"/>
  <c r="I23" i="15"/>
  <c r="K23" i="15"/>
  <c r="M42" i="15"/>
  <c r="L42" i="15"/>
  <c r="J42" i="15"/>
  <c r="I42" i="15"/>
  <c r="K42" i="15"/>
  <c r="M61" i="15"/>
  <c r="L61" i="15"/>
  <c r="J61" i="15"/>
  <c r="I61" i="15"/>
  <c r="K61" i="15"/>
  <c r="L96" i="15"/>
  <c r="K96" i="15"/>
  <c r="J96" i="15"/>
  <c r="I96" i="15"/>
  <c r="M96" i="15"/>
  <c r="X66" i="18"/>
  <c r="I127" i="18"/>
  <c r="G192" i="3"/>
  <c r="G195" i="3"/>
  <c r="U17" i="5"/>
  <c r="T17" i="5"/>
  <c r="V17" i="5"/>
  <c r="W17" i="5"/>
  <c r="S17" i="5"/>
  <c r="U19" i="5"/>
  <c r="T19" i="5"/>
  <c r="W19" i="5"/>
  <c r="V19" i="5"/>
  <c r="S19" i="5"/>
  <c r="U21" i="5"/>
  <c r="T21" i="5"/>
  <c r="V21" i="5"/>
  <c r="W21" i="5"/>
  <c r="S21" i="5"/>
  <c r="U23" i="5"/>
  <c r="T23" i="5"/>
  <c r="W23" i="5"/>
  <c r="V23" i="5"/>
  <c r="S23" i="5"/>
  <c r="U25" i="5"/>
  <c r="T25" i="5"/>
  <c r="V25" i="5"/>
  <c r="W25" i="5"/>
  <c r="S25" i="5"/>
  <c r="U27" i="5"/>
  <c r="T27" i="5"/>
  <c r="W27" i="5"/>
  <c r="V27" i="5"/>
  <c r="S27" i="5"/>
  <c r="U29" i="5"/>
  <c r="T29" i="5"/>
  <c r="V29" i="5"/>
  <c r="S29" i="5"/>
  <c r="W29" i="5"/>
  <c r="U31" i="5"/>
  <c r="T31" i="5"/>
  <c r="W31" i="5"/>
  <c r="V31" i="5"/>
  <c r="S31" i="5"/>
  <c r="U33" i="5"/>
  <c r="T33" i="5"/>
  <c r="V33" i="5"/>
  <c r="S33" i="5"/>
  <c r="W33" i="5"/>
  <c r="U35" i="5"/>
  <c r="T35" i="5"/>
  <c r="W35" i="5"/>
  <c r="V35" i="5"/>
  <c r="S35" i="5"/>
  <c r="U37" i="5"/>
  <c r="T37" i="5"/>
  <c r="V37" i="5"/>
  <c r="S37" i="5"/>
  <c r="W37" i="5"/>
  <c r="U39" i="5"/>
  <c r="T39" i="5"/>
  <c r="W39" i="5"/>
  <c r="V39" i="5"/>
  <c r="S39" i="5"/>
  <c r="U41" i="5"/>
  <c r="T41" i="5"/>
  <c r="V41" i="5"/>
  <c r="S41" i="5"/>
  <c r="W41" i="5"/>
  <c r="U43" i="5"/>
  <c r="T43" i="5"/>
  <c r="W43" i="5"/>
  <c r="V43" i="5"/>
  <c r="S43" i="5"/>
  <c r="U45" i="5"/>
  <c r="T45" i="5"/>
  <c r="V45" i="5"/>
  <c r="S45" i="5"/>
  <c r="W45" i="5"/>
  <c r="U47" i="5"/>
  <c r="T47" i="5"/>
  <c r="W47" i="5"/>
  <c r="V47" i="5"/>
  <c r="S47" i="5"/>
  <c r="U49" i="5"/>
  <c r="T49" i="5"/>
  <c r="V49" i="5"/>
  <c r="S49" i="5"/>
  <c r="W49" i="5"/>
  <c r="U51" i="5"/>
  <c r="T51" i="5"/>
  <c r="W51" i="5"/>
  <c r="V51" i="5"/>
  <c r="S51" i="5"/>
  <c r="K9" i="6"/>
  <c r="J9" i="6"/>
  <c r="I9" i="6"/>
  <c r="K15" i="6"/>
  <c r="J15" i="6"/>
  <c r="I15" i="6"/>
  <c r="K22" i="6"/>
  <c r="J22" i="6"/>
  <c r="I22" i="6"/>
  <c r="K28" i="6"/>
  <c r="J28" i="6"/>
  <c r="I28" i="6"/>
  <c r="K34" i="6"/>
  <c r="J34" i="6"/>
  <c r="I34" i="6"/>
  <c r="K40" i="6"/>
  <c r="J40" i="6"/>
  <c r="I40" i="6"/>
  <c r="K46" i="6"/>
  <c r="J46" i="6"/>
  <c r="I46" i="6"/>
  <c r="K52" i="6"/>
  <c r="J52" i="6"/>
  <c r="I52" i="6"/>
  <c r="S8" i="12"/>
  <c r="V8" i="12"/>
  <c r="T8" i="12"/>
  <c r="J25" i="13"/>
  <c r="I25" i="13"/>
  <c r="K25" i="13"/>
  <c r="J29" i="13"/>
  <c r="I29" i="13"/>
  <c r="K29" i="13"/>
  <c r="J33" i="13"/>
  <c r="I33" i="13"/>
  <c r="K33" i="13"/>
  <c r="J38" i="13"/>
  <c r="I38" i="13"/>
  <c r="K38" i="13"/>
  <c r="J42" i="13"/>
  <c r="I42" i="13"/>
  <c r="K42" i="13"/>
  <c r="J46" i="13"/>
  <c r="I46" i="13"/>
  <c r="K46" i="13"/>
  <c r="J51" i="13"/>
  <c r="I51" i="13"/>
  <c r="K51" i="13"/>
  <c r="J55" i="13"/>
  <c r="I55" i="13"/>
  <c r="K55" i="13"/>
  <c r="J59" i="13"/>
  <c r="I59" i="13"/>
  <c r="K59" i="13"/>
  <c r="J64" i="13"/>
  <c r="I64" i="13"/>
  <c r="K64" i="13"/>
  <c r="J68" i="13"/>
  <c r="I68" i="13"/>
  <c r="H76" i="13"/>
  <c r="K68" i="13"/>
  <c r="J72" i="13"/>
  <c r="I72" i="13"/>
  <c r="K72" i="13"/>
  <c r="J81" i="13"/>
  <c r="I81" i="13"/>
  <c r="K81" i="13"/>
  <c r="J85" i="13"/>
  <c r="I85" i="13"/>
  <c r="K85" i="13"/>
  <c r="J89" i="13"/>
  <c r="I89" i="13"/>
  <c r="K89" i="13"/>
  <c r="J94" i="13"/>
  <c r="I94" i="13"/>
  <c r="K94" i="13"/>
  <c r="J98" i="13"/>
  <c r="I98" i="13"/>
  <c r="K98" i="13"/>
  <c r="J102" i="13"/>
  <c r="I102" i="13"/>
  <c r="K102" i="13"/>
  <c r="J107" i="13"/>
  <c r="I107" i="13"/>
  <c r="K107" i="13"/>
  <c r="J111" i="13"/>
  <c r="I111" i="13"/>
  <c r="K111" i="13"/>
  <c r="J115" i="13"/>
  <c r="I115" i="13"/>
  <c r="K115" i="13"/>
  <c r="J16" i="14"/>
  <c r="I16" i="14"/>
  <c r="J22" i="14"/>
  <c r="I22" i="14"/>
  <c r="J28" i="14"/>
  <c r="I28" i="14"/>
  <c r="J47" i="14"/>
  <c r="I47" i="14"/>
  <c r="J57" i="14"/>
  <c r="I57" i="14"/>
  <c r="H65" i="14"/>
  <c r="J67" i="14"/>
  <c r="I67" i="14"/>
  <c r="J76" i="14"/>
  <c r="I76" i="14"/>
  <c r="J86" i="14"/>
  <c r="I86" i="14"/>
  <c r="J96" i="14"/>
  <c r="I96" i="14"/>
  <c r="J105" i="14"/>
  <c r="I105" i="14"/>
  <c r="J115" i="14"/>
  <c r="I115" i="14"/>
  <c r="J125" i="14"/>
  <c r="I125" i="14"/>
  <c r="J134" i="14"/>
  <c r="I134" i="14"/>
  <c r="J144" i="14"/>
  <c r="I144" i="14"/>
  <c r="J154" i="14"/>
  <c r="I154" i="14"/>
  <c r="J39" i="15"/>
  <c r="I39" i="15"/>
  <c r="M39" i="15"/>
  <c r="L39" i="15"/>
  <c r="K39" i="15"/>
  <c r="J58" i="15"/>
  <c r="I58" i="15"/>
  <c r="M58" i="15"/>
  <c r="L58" i="15"/>
  <c r="K58" i="15"/>
  <c r="K88" i="15"/>
  <c r="J88" i="15"/>
  <c r="L88" i="15"/>
  <c r="I88" i="15"/>
  <c r="M88" i="15"/>
  <c r="L127" i="15"/>
  <c r="K127" i="15"/>
  <c r="J127" i="15"/>
  <c r="M127" i="15"/>
  <c r="I127" i="15"/>
  <c r="X10" i="18"/>
  <c r="Q15" i="18"/>
  <c r="I53" i="18"/>
  <c r="Q113" i="18"/>
  <c r="H12" i="19"/>
  <c r="I12" i="19"/>
  <c r="I27" i="14"/>
  <c r="J27" i="14"/>
  <c r="I30" i="14"/>
  <c r="J30" i="14"/>
  <c r="I33" i="14"/>
  <c r="J33" i="14"/>
  <c r="I36" i="14"/>
  <c r="J36" i="14"/>
  <c r="I40" i="14"/>
  <c r="J40" i="14"/>
  <c r="H51" i="14"/>
  <c r="I43" i="14"/>
  <c r="J43" i="14"/>
  <c r="I46" i="14"/>
  <c r="J46" i="14"/>
  <c r="I49" i="14"/>
  <c r="J49" i="14"/>
  <c r="I53" i="14"/>
  <c r="J53" i="14"/>
  <c r="I56" i="14"/>
  <c r="J56" i="14"/>
  <c r="I59" i="14"/>
  <c r="J59" i="14"/>
  <c r="I62" i="14"/>
  <c r="J62" i="14"/>
  <c r="I69" i="14"/>
  <c r="J69" i="14"/>
  <c r="I72" i="14"/>
  <c r="J72" i="14"/>
  <c r="I75" i="14"/>
  <c r="J75" i="14"/>
  <c r="I78" i="14"/>
  <c r="J78" i="14"/>
  <c r="I82" i="14"/>
  <c r="J82" i="14"/>
  <c r="H93" i="14"/>
  <c r="I85" i="14"/>
  <c r="J85" i="14"/>
  <c r="I88" i="14"/>
  <c r="J88" i="14"/>
  <c r="I91" i="14"/>
  <c r="J91" i="14"/>
  <c r="I95" i="14"/>
  <c r="J95" i="14"/>
  <c r="I98" i="14"/>
  <c r="J98" i="14"/>
  <c r="I101" i="14"/>
  <c r="J101" i="14"/>
  <c r="I104" i="14"/>
  <c r="J104" i="14"/>
  <c r="I111" i="14"/>
  <c r="J111" i="14"/>
  <c r="I114" i="14"/>
  <c r="J114" i="14"/>
  <c r="I117" i="14"/>
  <c r="J117" i="14"/>
  <c r="I120" i="14"/>
  <c r="J120" i="14"/>
  <c r="I124" i="14"/>
  <c r="J124" i="14"/>
  <c r="H135" i="14"/>
  <c r="I127" i="14"/>
  <c r="J127" i="14"/>
  <c r="I130" i="14"/>
  <c r="J130" i="14"/>
  <c r="I133" i="14"/>
  <c r="J133" i="14"/>
  <c r="I137" i="14"/>
  <c r="J137" i="14"/>
  <c r="I140" i="14"/>
  <c r="J140" i="14"/>
  <c r="I143" i="14"/>
  <c r="J143" i="14"/>
  <c r="I146" i="14"/>
  <c r="J146" i="14"/>
  <c r="I153" i="14"/>
  <c r="J153" i="14"/>
  <c r="I156" i="14"/>
  <c r="J156" i="14"/>
  <c r="I159" i="14"/>
  <c r="J159" i="14"/>
  <c r="I162" i="14"/>
  <c r="J162" i="14"/>
  <c r="V13" i="17"/>
  <c r="U13" i="17"/>
  <c r="T21" i="17"/>
  <c r="V17" i="17"/>
  <c r="U17" i="17"/>
  <c r="J30" i="17"/>
  <c r="I30" i="17"/>
  <c r="X27" i="18"/>
  <c r="Q32" i="18"/>
  <c r="X85" i="18"/>
  <c r="X143" i="18"/>
  <c r="Q149" i="18"/>
  <c r="P148" i="18"/>
  <c r="I52" i="23"/>
  <c r="K52" i="23"/>
  <c r="J52" i="23"/>
  <c r="J158" i="23"/>
  <c r="K158" i="23"/>
  <c r="I158" i="23"/>
  <c r="J10" i="17"/>
  <c r="H9" i="17"/>
  <c r="K10" i="17" s="1"/>
  <c r="I10" i="17"/>
  <c r="J14" i="17"/>
  <c r="I14" i="17"/>
  <c r="J18" i="17"/>
  <c r="I18" i="17"/>
  <c r="J31" i="17"/>
  <c r="I31" i="17"/>
  <c r="X30" i="18"/>
  <c r="X88" i="18"/>
  <c r="Q94" i="18"/>
  <c r="P160" i="18"/>
  <c r="Q152" i="18"/>
  <c r="L131" i="22"/>
  <c r="K131" i="22"/>
  <c r="J131" i="22"/>
  <c r="J26" i="17"/>
  <c r="I26" i="17"/>
  <c r="J40" i="17"/>
  <c r="I40" i="17"/>
  <c r="J44" i="17"/>
  <c r="I44" i="17"/>
  <c r="J48" i="17"/>
  <c r="I48" i="17"/>
  <c r="J53" i="17"/>
  <c r="I53" i="17"/>
  <c r="J57" i="17"/>
  <c r="I57" i="17"/>
  <c r="J61" i="17"/>
  <c r="I61" i="17"/>
  <c r="J66" i="17"/>
  <c r="H65" i="17"/>
  <c r="I66" i="17"/>
  <c r="J70" i="17"/>
  <c r="I70" i="17"/>
  <c r="J74" i="17"/>
  <c r="I74" i="17"/>
  <c r="J83" i="17"/>
  <c r="I83" i="17"/>
  <c r="H91" i="17"/>
  <c r="J87" i="17"/>
  <c r="K87" i="17"/>
  <c r="I87" i="17"/>
  <c r="J96" i="17"/>
  <c r="I96" i="17"/>
  <c r="J100" i="17"/>
  <c r="K100" i="17"/>
  <c r="I100" i="17"/>
  <c r="J104" i="17"/>
  <c r="I104" i="17"/>
  <c r="J109" i="17"/>
  <c r="K109" i="17"/>
  <c r="I109" i="17"/>
  <c r="J113" i="17"/>
  <c r="I113" i="17"/>
  <c r="J117" i="17"/>
  <c r="K117" i="17"/>
  <c r="I117" i="17"/>
  <c r="J122" i="17"/>
  <c r="H121" i="17"/>
  <c r="I122" i="17"/>
  <c r="J126" i="17"/>
  <c r="I126" i="17"/>
  <c r="J130" i="17"/>
  <c r="I130" i="17"/>
  <c r="J139" i="17"/>
  <c r="I139" i="17"/>
  <c r="H147" i="17"/>
  <c r="J143" i="17"/>
  <c r="I143" i="17"/>
  <c r="J152" i="17"/>
  <c r="I152" i="17"/>
  <c r="J156" i="17"/>
  <c r="I156" i="17"/>
  <c r="J160" i="17"/>
  <c r="I160" i="17"/>
  <c r="X69" i="18"/>
  <c r="Q74" i="18"/>
  <c r="X127" i="18"/>
  <c r="K51" i="22"/>
  <c r="J51" i="22"/>
  <c r="L51" i="22"/>
  <c r="V11" i="12"/>
  <c r="T11" i="12"/>
  <c r="S11" i="12"/>
  <c r="V13" i="12"/>
  <c r="T13" i="12"/>
  <c r="S13" i="12"/>
  <c r="V15" i="12"/>
  <c r="T15" i="12"/>
  <c r="S15" i="12"/>
  <c r="V18" i="12"/>
  <c r="T18" i="12"/>
  <c r="S18" i="12"/>
  <c r="V21" i="12"/>
  <c r="T21" i="12"/>
  <c r="S21" i="12"/>
  <c r="V24" i="12"/>
  <c r="T24" i="12"/>
  <c r="S24" i="12"/>
  <c r="V27" i="12"/>
  <c r="T27" i="12"/>
  <c r="S27" i="12"/>
  <c r="V30" i="12"/>
  <c r="T30" i="12"/>
  <c r="S30" i="12"/>
  <c r="V33" i="12"/>
  <c r="T33" i="12"/>
  <c r="S33" i="12"/>
  <c r="V36" i="12"/>
  <c r="T36" i="12"/>
  <c r="S36" i="12"/>
  <c r="V39" i="12"/>
  <c r="T39" i="12"/>
  <c r="S39" i="12"/>
  <c r="V42" i="12"/>
  <c r="T42" i="12"/>
  <c r="S42" i="12"/>
  <c r="V45" i="12"/>
  <c r="T45" i="12"/>
  <c r="S45" i="12"/>
  <c r="V48" i="12"/>
  <c r="T48" i="12"/>
  <c r="S48" i="12"/>
  <c r="V51" i="12"/>
  <c r="T51" i="12"/>
  <c r="S51" i="12"/>
  <c r="V54" i="12"/>
  <c r="T54" i="12"/>
  <c r="S54" i="12"/>
  <c r="V57" i="12"/>
  <c r="T57" i="12"/>
  <c r="S57" i="12"/>
  <c r="J26" i="14"/>
  <c r="I26" i="14"/>
  <c r="J29" i="14"/>
  <c r="H37" i="14"/>
  <c r="I29" i="14"/>
  <c r="J32" i="14"/>
  <c r="I32" i="14"/>
  <c r="J35" i="14"/>
  <c r="I35" i="14"/>
  <c r="J39" i="14"/>
  <c r="I39" i="14"/>
  <c r="J42" i="14"/>
  <c r="I42" i="14"/>
  <c r="J45" i="14"/>
  <c r="I45" i="14"/>
  <c r="J48" i="14"/>
  <c r="I48" i="14"/>
  <c r="J55" i="14"/>
  <c r="I55" i="14"/>
  <c r="J58" i="14"/>
  <c r="I58" i="14"/>
  <c r="J61" i="14"/>
  <c r="I61" i="14"/>
  <c r="J64" i="14"/>
  <c r="I64" i="14"/>
  <c r="J68" i="14"/>
  <c r="I68" i="14"/>
  <c r="J71" i="14"/>
  <c r="I71" i="14"/>
  <c r="H79" i="14"/>
  <c r="J74" i="14"/>
  <c r="I74" i="14"/>
  <c r="J77" i="14"/>
  <c r="I77" i="14"/>
  <c r="J81" i="14"/>
  <c r="I81" i="14"/>
  <c r="J84" i="14"/>
  <c r="I84" i="14"/>
  <c r="J87" i="14"/>
  <c r="I87" i="14"/>
  <c r="J90" i="14"/>
  <c r="I90" i="14"/>
  <c r="J97" i="14"/>
  <c r="I97" i="14"/>
  <c r="J100" i="14"/>
  <c r="I100" i="14"/>
  <c r="J103" i="14"/>
  <c r="I103" i="14"/>
  <c r="J106" i="14"/>
  <c r="I106" i="14"/>
  <c r="J110" i="14"/>
  <c r="I110" i="14"/>
  <c r="J113" i="14"/>
  <c r="I113" i="14"/>
  <c r="H121" i="14"/>
  <c r="J116" i="14"/>
  <c r="I116" i="14"/>
  <c r="J119" i="14"/>
  <c r="I119" i="14"/>
  <c r="J123" i="14"/>
  <c r="I123" i="14"/>
  <c r="J126" i="14"/>
  <c r="I126" i="14"/>
  <c r="J129" i="14"/>
  <c r="I129" i="14"/>
  <c r="J132" i="14"/>
  <c r="I132" i="14"/>
  <c r="J139" i="14"/>
  <c r="I139" i="14"/>
  <c r="J142" i="14"/>
  <c r="I142" i="14"/>
  <c r="J145" i="14"/>
  <c r="I145" i="14"/>
  <c r="J148" i="14"/>
  <c r="I148" i="14"/>
  <c r="J152" i="14"/>
  <c r="I152" i="14"/>
  <c r="J155" i="14"/>
  <c r="H163" i="14"/>
  <c r="I155" i="14"/>
  <c r="J158" i="14"/>
  <c r="I158" i="14"/>
  <c r="J161" i="14"/>
  <c r="I161" i="14"/>
  <c r="J12" i="17"/>
  <c r="I12" i="17"/>
  <c r="J16" i="17"/>
  <c r="I16" i="17"/>
  <c r="J20" i="17"/>
  <c r="I20" i="17"/>
  <c r="J27" i="17"/>
  <c r="H35" i="17"/>
  <c r="I27" i="17"/>
  <c r="Q13" i="18"/>
  <c r="X46" i="18"/>
  <c r="Q52" i="18"/>
  <c r="Q110" i="18"/>
  <c r="P118" i="18"/>
  <c r="J34" i="17"/>
  <c r="I34" i="17"/>
  <c r="J39" i="17"/>
  <c r="I39" i="17"/>
  <c r="J43" i="17"/>
  <c r="I43" i="17"/>
  <c r="J47" i="17"/>
  <c r="I47" i="17"/>
  <c r="J52" i="17"/>
  <c r="I52" i="17"/>
  <c r="H51" i="17"/>
  <c r="J56" i="17"/>
  <c r="I56" i="17"/>
  <c r="J60" i="17"/>
  <c r="I60" i="17"/>
  <c r="J69" i="17"/>
  <c r="I69" i="17"/>
  <c r="H77" i="17"/>
  <c r="J73" i="17"/>
  <c r="I73" i="17"/>
  <c r="K73" i="17"/>
  <c r="J82" i="17"/>
  <c r="I82" i="17"/>
  <c r="J86" i="17"/>
  <c r="I86" i="17"/>
  <c r="K86" i="17"/>
  <c r="J90" i="17"/>
  <c r="I90" i="17"/>
  <c r="J95" i="17"/>
  <c r="I95" i="17"/>
  <c r="K95" i="17"/>
  <c r="J99" i="17"/>
  <c r="I99" i="17"/>
  <c r="J103" i="17"/>
  <c r="I103" i="17"/>
  <c r="K103" i="17"/>
  <c r="J108" i="17"/>
  <c r="I108" i="17"/>
  <c r="H107" i="17"/>
  <c r="J112" i="17"/>
  <c r="I112" i="17"/>
  <c r="J116" i="17"/>
  <c r="I116" i="17"/>
  <c r="J125" i="17"/>
  <c r="I125" i="17"/>
  <c r="H133" i="17"/>
  <c r="J129" i="17"/>
  <c r="I129" i="17"/>
  <c r="J138" i="17"/>
  <c r="I138" i="17"/>
  <c r="J142" i="17"/>
  <c r="I142" i="17"/>
  <c r="J146" i="17"/>
  <c r="I146" i="17"/>
  <c r="J151" i="17"/>
  <c r="I151" i="17"/>
  <c r="J155" i="17"/>
  <c r="I155" i="17"/>
  <c r="J159" i="17"/>
  <c r="I159" i="17"/>
  <c r="X24" i="18"/>
  <c r="X43" i="18"/>
  <c r="W90" i="18"/>
  <c r="X82" i="18"/>
  <c r="X101" i="18"/>
  <c r="X121" i="18"/>
  <c r="W120" i="18"/>
  <c r="X140" i="18"/>
  <c r="H18" i="19"/>
  <c r="I18" i="19"/>
  <c r="H28" i="19"/>
  <c r="I28" i="19"/>
  <c r="U149" i="19"/>
  <c r="J11" i="17"/>
  <c r="I11" i="17"/>
  <c r="J13" i="17"/>
  <c r="I13" i="17"/>
  <c r="H21" i="17"/>
  <c r="J15" i="17"/>
  <c r="K15" i="17"/>
  <c r="I15" i="17"/>
  <c r="J17" i="17"/>
  <c r="I17" i="17"/>
  <c r="J19" i="17"/>
  <c r="K19" i="17"/>
  <c r="I19" i="17"/>
  <c r="J25" i="17"/>
  <c r="I25" i="17"/>
  <c r="J29" i="17"/>
  <c r="K29" i="17"/>
  <c r="I29" i="17"/>
  <c r="J33" i="17"/>
  <c r="I33" i="17"/>
  <c r="J38" i="17"/>
  <c r="K38" i="17"/>
  <c r="H37" i="17"/>
  <c r="I38" i="17"/>
  <c r="J42" i="17"/>
  <c r="I42" i="17"/>
  <c r="J46" i="17"/>
  <c r="I46" i="17"/>
  <c r="J55" i="17"/>
  <c r="I55" i="17"/>
  <c r="H63" i="17"/>
  <c r="J59" i="17"/>
  <c r="I59" i="17"/>
  <c r="J68" i="17"/>
  <c r="I68" i="17"/>
  <c r="J72" i="17"/>
  <c r="I72" i="17"/>
  <c r="J76" i="17"/>
  <c r="I76" i="17"/>
  <c r="J81" i="17"/>
  <c r="I81" i="17"/>
  <c r="J85" i="17"/>
  <c r="I85" i="17"/>
  <c r="J89" i="17"/>
  <c r="I89" i="17"/>
  <c r="J94" i="17"/>
  <c r="H93" i="17"/>
  <c r="I94" i="17"/>
  <c r="J98" i="17"/>
  <c r="I98" i="17"/>
  <c r="J102" i="17"/>
  <c r="K102" i="17"/>
  <c r="I102" i="17"/>
  <c r="J111" i="17"/>
  <c r="I111" i="17"/>
  <c r="H119" i="17"/>
  <c r="J115" i="17"/>
  <c r="I115" i="17"/>
  <c r="J124" i="17"/>
  <c r="I124" i="17"/>
  <c r="J128" i="17"/>
  <c r="I128" i="17"/>
  <c r="J132" i="17"/>
  <c r="I132" i="17"/>
  <c r="J137" i="17"/>
  <c r="I137" i="17"/>
  <c r="J141" i="17"/>
  <c r="I141" i="17"/>
  <c r="J145" i="17"/>
  <c r="I145" i="17"/>
  <c r="J150" i="17"/>
  <c r="H149" i="17"/>
  <c r="I150" i="17"/>
  <c r="J154" i="17"/>
  <c r="I154" i="17"/>
  <c r="J158" i="17"/>
  <c r="I158" i="17"/>
  <c r="X40" i="18"/>
  <c r="W48" i="18"/>
  <c r="X59" i="18"/>
  <c r="X79" i="18"/>
  <c r="W78" i="18"/>
  <c r="X98" i="18"/>
  <c r="X117" i="18"/>
  <c r="X137" i="18"/>
  <c r="X156" i="18"/>
  <c r="X159" i="18"/>
  <c r="G147" i="19"/>
  <c r="H139" i="19"/>
  <c r="I139" i="19"/>
  <c r="X14" i="22"/>
  <c r="V14" i="22"/>
  <c r="W14" i="22"/>
  <c r="J19" i="22"/>
  <c r="K19" i="22"/>
  <c r="L19" i="22"/>
  <c r="L26" i="22"/>
  <c r="J26" i="22"/>
  <c r="K26" i="22"/>
  <c r="X14" i="18"/>
  <c r="X17" i="18"/>
  <c r="X37" i="18"/>
  <c r="W36" i="18"/>
  <c r="X56" i="18"/>
  <c r="X75" i="18"/>
  <c r="X95" i="18"/>
  <c r="X114" i="18"/>
  <c r="X153" i="18"/>
  <c r="X158" i="18"/>
  <c r="H15" i="19"/>
  <c r="I15" i="19"/>
  <c r="H25" i="19"/>
  <c r="I25" i="19"/>
  <c r="U161" i="19"/>
  <c r="L65" i="22"/>
  <c r="J65" i="22"/>
  <c r="K65" i="22"/>
  <c r="J66" i="23"/>
  <c r="K66" i="23"/>
  <c r="I66" i="23"/>
  <c r="J24" i="17"/>
  <c r="I24" i="17"/>
  <c r="H23" i="17"/>
  <c r="J28" i="17"/>
  <c r="I28" i="17"/>
  <c r="J32" i="17"/>
  <c r="I32" i="17"/>
  <c r="J41" i="17"/>
  <c r="I41" i="17"/>
  <c r="H49" i="17"/>
  <c r="K41" i="17"/>
  <c r="J45" i="17"/>
  <c r="I45" i="17"/>
  <c r="J54" i="17"/>
  <c r="I54" i="17"/>
  <c r="K54" i="17"/>
  <c r="J58" i="17"/>
  <c r="I58" i="17"/>
  <c r="J62" i="17"/>
  <c r="I62" i="17"/>
  <c r="K62" i="17"/>
  <c r="J67" i="17"/>
  <c r="I67" i="17"/>
  <c r="J71" i="17"/>
  <c r="I71" i="17"/>
  <c r="K71" i="17"/>
  <c r="J75" i="17"/>
  <c r="I75" i="17"/>
  <c r="J80" i="17"/>
  <c r="I80" i="17"/>
  <c r="H79" i="17"/>
  <c r="J84" i="17"/>
  <c r="I84" i="17"/>
  <c r="J88" i="17"/>
  <c r="I88" i="17"/>
  <c r="J97" i="17"/>
  <c r="I97" i="17"/>
  <c r="H105" i="17"/>
  <c r="J101" i="17"/>
  <c r="I101" i="17"/>
  <c r="J110" i="17"/>
  <c r="I110" i="17"/>
  <c r="J114" i="17"/>
  <c r="I114" i="17"/>
  <c r="J118" i="17"/>
  <c r="I118" i="17"/>
  <c r="J123" i="17"/>
  <c r="I123" i="17"/>
  <c r="J127" i="17"/>
  <c r="I127" i="17"/>
  <c r="J131" i="17"/>
  <c r="I131" i="17"/>
  <c r="J136" i="17"/>
  <c r="I136" i="17"/>
  <c r="H135" i="17"/>
  <c r="K136" i="17"/>
  <c r="J140" i="17"/>
  <c r="I140" i="17"/>
  <c r="J144" i="17"/>
  <c r="I144" i="17"/>
  <c r="K144" i="17"/>
  <c r="J153" i="17"/>
  <c r="I153" i="17"/>
  <c r="H161" i="17"/>
  <c r="J157" i="17"/>
  <c r="I157" i="17"/>
  <c r="X11" i="18"/>
  <c r="X33" i="18"/>
  <c r="X53" i="18"/>
  <c r="X72" i="18"/>
  <c r="X111" i="18"/>
  <c r="X130" i="18"/>
  <c r="X150" i="18"/>
  <c r="U147" i="19"/>
  <c r="R11" i="21"/>
  <c r="Q11" i="21"/>
  <c r="L16" i="22"/>
  <c r="J16" i="22"/>
  <c r="K16" i="22"/>
  <c r="I144" i="23"/>
  <c r="J144" i="23"/>
  <c r="K144" i="23"/>
  <c r="X16" i="18"/>
  <c r="X23" i="18"/>
  <c r="W22" i="18"/>
  <c r="X29" i="18"/>
  <c r="X42" i="18"/>
  <c r="X55" i="18"/>
  <c r="X61" i="18"/>
  <c r="W76" i="18"/>
  <c r="X68" i="18"/>
  <c r="X74" i="18"/>
  <c r="X81" i="18"/>
  <c r="X87" i="18"/>
  <c r="X94" i="18"/>
  <c r="Z10" i="19"/>
  <c r="U9" i="19"/>
  <c r="Z139" i="19" s="1"/>
  <c r="Z13" i="19"/>
  <c r="U21" i="19"/>
  <c r="Z21" i="19" s="1"/>
  <c r="K154" i="22"/>
  <c r="L154" i="22"/>
  <c r="J154" i="22"/>
  <c r="J103" i="22"/>
  <c r="L103" i="22"/>
  <c r="K103" i="22"/>
  <c r="V18" i="23"/>
  <c r="U18" i="23"/>
  <c r="W18" i="23"/>
  <c r="W9" i="22"/>
  <c r="X9" i="22"/>
  <c r="V9" i="22"/>
  <c r="K31" i="22"/>
  <c r="J31" i="22"/>
  <c r="L31" i="22"/>
  <c r="J155" i="22"/>
  <c r="L155" i="22"/>
  <c r="K155" i="22"/>
  <c r="J27" i="23"/>
  <c r="K27" i="23"/>
  <c r="I27" i="23"/>
  <c r="J55" i="23"/>
  <c r="I55" i="23"/>
  <c r="K55" i="23"/>
  <c r="K32" i="22"/>
  <c r="J32" i="22"/>
  <c r="L32" i="22"/>
  <c r="K57" i="22"/>
  <c r="L57" i="22"/>
  <c r="J57" i="22"/>
  <c r="K70" i="22"/>
  <c r="J70" i="22"/>
  <c r="L70" i="22"/>
  <c r="L84" i="22"/>
  <c r="J84" i="22"/>
  <c r="K84" i="22"/>
  <c r="L45" i="22"/>
  <c r="J45" i="22"/>
  <c r="K45" i="22"/>
  <c r="L117" i="22"/>
  <c r="K117" i="22"/>
  <c r="J117" i="22"/>
  <c r="I17" i="23"/>
  <c r="K17" i="23"/>
  <c r="J17" i="23"/>
  <c r="J100" i="23"/>
  <c r="K100" i="23"/>
  <c r="I100" i="23"/>
  <c r="I114" i="23"/>
  <c r="K114" i="23"/>
  <c r="J114" i="23"/>
  <c r="J128" i="23"/>
  <c r="K128" i="23"/>
  <c r="I128" i="23"/>
  <c r="I142" i="23"/>
  <c r="K142" i="23"/>
  <c r="J142" i="23"/>
  <c r="K71" i="22"/>
  <c r="J71" i="22"/>
  <c r="L71" i="22"/>
  <c r="J107" i="22"/>
  <c r="L107" i="22"/>
  <c r="K107" i="22"/>
  <c r="L121" i="22"/>
  <c r="K121" i="22"/>
  <c r="J121" i="22"/>
  <c r="K135" i="22"/>
  <c r="L135" i="22"/>
  <c r="J135" i="22"/>
  <c r="I26" i="23"/>
  <c r="H34" i="23"/>
  <c r="K26" i="23"/>
  <c r="J26" i="23"/>
  <c r="J29" i="23"/>
  <c r="I29" i="23"/>
  <c r="K29" i="23"/>
  <c r="J79" i="23"/>
  <c r="K79" i="23"/>
  <c r="I79" i="23"/>
  <c r="I106" i="23"/>
  <c r="J106" i="23"/>
  <c r="K106" i="23"/>
  <c r="J120" i="23"/>
  <c r="K120" i="23"/>
  <c r="I120" i="23"/>
  <c r="I134" i="23"/>
  <c r="K134" i="23"/>
  <c r="J134" i="23"/>
  <c r="J148" i="23"/>
  <c r="K148" i="23"/>
  <c r="I148" i="23"/>
  <c r="L11" i="22"/>
  <c r="K11" i="22"/>
  <c r="J11" i="22"/>
  <c r="K28" i="22"/>
  <c r="L28" i="22"/>
  <c r="J28" i="22"/>
  <c r="K42" i="22"/>
  <c r="L42" i="22"/>
  <c r="J42" i="22"/>
  <c r="K67" i="22"/>
  <c r="L67" i="22"/>
  <c r="J67" i="22"/>
  <c r="K81" i="22"/>
  <c r="L81" i="22"/>
  <c r="J81" i="22"/>
  <c r="J110" i="22"/>
  <c r="K110" i="22"/>
  <c r="L110" i="22"/>
  <c r="L124" i="22"/>
  <c r="J124" i="22"/>
  <c r="K124" i="22"/>
  <c r="J138" i="22"/>
  <c r="L138" i="22"/>
  <c r="K138" i="22"/>
  <c r="I39" i="23"/>
  <c r="K39" i="23"/>
  <c r="J39" i="23"/>
  <c r="J42" i="23"/>
  <c r="I42" i="23"/>
  <c r="K42" i="23"/>
  <c r="I125" i="23"/>
  <c r="J125" i="23"/>
  <c r="K125" i="23"/>
  <c r="J139" i="23"/>
  <c r="K139" i="23"/>
  <c r="I139" i="23"/>
  <c r="I153" i="23"/>
  <c r="K153" i="23"/>
  <c r="J153" i="23"/>
  <c r="K15" i="22"/>
  <c r="J15" i="22"/>
  <c r="L15" i="22"/>
  <c r="K18" i="22"/>
  <c r="L18" i="22"/>
  <c r="J18" i="22"/>
  <c r="K38" i="22"/>
  <c r="L38" i="22"/>
  <c r="J38" i="22"/>
  <c r="K52" i="22"/>
  <c r="J52" i="22"/>
  <c r="L52" i="22"/>
  <c r="K76" i="22"/>
  <c r="L76" i="22"/>
  <c r="J76" i="22"/>
  <c r="K86" i="22"/>
  <c r="L86" i="22"/>
  <c r="J86" i="22"/>
  <c r="J97" i="22"/>
  <c r="L97" i="22"/>
  <c r="I105" i="22"/>
  <c r="K97" i="22"/>
  <c r="L111" i="22"/>
  <c r="I119" i="22"/>
  <c r="K111" i="22"/>
  <c r="J111" i="22"/>
  <c r="I133" i="22"/>
  <c r="K125" i="22"/>
  <c r="J125" i="22"/>
  <c r="L125" i="22"/>
  <c r="J158" i="22"/>
  <c r="L158" i="22"/>
  <c r="K158" i="22"/>
  <c r="J40" i="23"/>
  <c r="H48" i="23"/>
  <c r="K40" i="23"/>
  <c r="I40" i="23"/>
  <c r="I65" i="23"/>
  <c r="K65" i="23"/>
  <c r="J65" i="23"/>
  <c r="H76" i="23"/>
  <c r="J68" i="23"/>
  <c r="I68" i="23"/>
  <c r="K68" i="23"/>
  <c r="I103" i="23"/>
  <c r="K103" i="23"/>
  <c r="J103" i="23"/>
  <c r="K23" i="22"/>
  <c r="L23" i="22"/>
  <c r="J23" i="22"/>
  <c r="K47" i="22"/>
  <c r="L47" i="22"/>
  <c r="J47" i="22"/>
  <c r="K61" i="22"/>
  <c r="L61" i="22"/>
  <c r="J61" i="22"/>
  <c r="J100" i="22"/>
  <c r="L100" i="22"/>
  <c r="K100" i="22"/>
  <c r="L114" i="22"/>
  <c r="K114" i="22"/>
  <c r="J114" i="22"/>
  <c r="K128" i="22"/>
  <c r="J128" i="22"/>
  <c r="L128" i="22"/>
  <c r="I11" i="23"/>
  <c r="K11" i="23"/>
  <c r="J11" i="23"/>
  <c r="J53" i="23"/>
  <c r="K53" i="23"/>
  <c r="I53" i="23"/>
  <c r="I78" i="23"/>
  <c r="K78" i="23"/>
  <c r="J78" i="23"/>
  <c r="J81" i="23"/>
  <c r="I81" i="23"/>
  <c r="K81" i="23"/>
  <c r="I95" i="23"/>
  <c r="K95" i="23"/>
  <c r="J95" i="23"/>
  <c r="J109" i="23"/>
  <c r="K109" i="23"/>
  <c r="I109" i="23"/>
  <c r="I123" i="23"/>
  <c r="K123" i="23"/>
  <c r="J123" i="23"/>
  <c r="J90" i="22"/>
  <c r="K90" i="22"/>
  <c r="L90" i="22"/>
  <c r="L98" i="22"/>
  <c r="J98" i="22"/>
  <c r="K98" i="22"/>
  <c r="L104" i="22"/>
  <c r="J104" i="22"/>
  <c r="K104" i="22"/>
  <c r="L112" i="22"/>
  <c r="J112" i="22"/>
  <c r="K112" i="22"/>
  <c r="J118" i="22"/>
  <c r="K118" i="22"/>
  <c r="L118" i="22"/>
  <c r="J139" i="22"/>
  <c r="I147" i="22"/>
  <c r="K139" i="22"/>
  <c r="L139" i="22"/>
  <c r="J145" i="22"/>
  <c r="L145" i="22"/>
  <c r="K145" i="22"/>
  <c r="L153" i="22"/>
  <c r="J153" i="22"/>
  <c r="I161" i="22"/>
  <c r="K153" i="22"/>
  <c r="L159" i="22"/>
  <c r="K159" i="22"/>
  <c r="J159" i="22"/>
  <c r="J39" i="32"/>
  <c r="C36" i="21"/>
  <c r="L17" i="22"/>
  <c r="J17" i="22"/>
  <c r="K17" i="22"/>
  <c r="K25" i="22"/>
  <c r="J25" i="22"/>
  <c r="L25" i="22"/>
  <c r="D35" i="22"/>
  <c r="G34" i="23"/>
  <c r="D34" i="24"/>
  <c r="D40" i="24"/>
  <c r="D77" i="24"/>
  <c r="D83" i="24"/>
  <c r="D89" i="24"/>
  <c r="D103" i="24"/>
  <c r="L9" i="26"/>
  <c r="N10" i="26"/>
  <c r="N11" i="26"/>
  <c r="J18" i="26"/>
  <c r="J19" i="26"/>
  <c r="N54" i="26"/>
  <c r="J97" i="26"/>
  <c r="J105" i="26"/>
  <c r="J109" i="26"/>
  <c r="N165" i="26"/>
  <c r="J169" i="26"/>
  <c r="J173" i="26"/>
  <c r="N188" i="26"/>
  <c r="N192" i="26"/>
  <c r="N196" i="26"/>
  <c r="L207" i="26"/>
  <c r="L211" i="26"/>
  <c r="L215" i="26"/>
  <c r="L219" i="26"/>
  <c r="H255" i="26"/>
  <c r="H259" i="26"/>
  <c r="H263" i="26"/>
  <c r="H267" i="26"/>
  <c r="F36" i="27"/>
  <c r="H57" i="27"/>
  <c r="D8" i="24"/>
  <c r="E10" i="24"/>
  <c r="D31" i="24"/>
  <c r="D66" i="24"/>
  <c r="D80" i="24"/>
  <c r="D86" i="24"/>
  <c r="D109" i="24"/>
  <c r="H9" i="26"/>
  <c r="N12" i="26"/>
  <c r="N13" i="26"/>
  <c r="L14" i="26"/>
  <c r="J16" i="26"/>
  <c r="H17" i="26"/>
  <c r="H18" i="26"/>
  <c r="J35" i="26"/>
  <c r="J36" i="26"/>
  <c r="N77" i="26"/>
  <c r="N79" i="26"/>
  <c r="H99" i="26"/>
  <c r="J100" i="26"/>
  <c r="L101" i="26"/>
  <c r="N103" i="26"/>
  <c r="N119" i="26"/>
  <c r="N122" i="26"/>
  <c r="N125" i="26"/>
  <c r="N128" i="26"/>
  <c r="J164" i="26"/>
  <c r="N229" i="26"/>
  <c r="N231" i="26"/>
  <c r="N233" i="26"/>
  <c r="N235" i="26"/>
  <c r="N237" i="26"/>
  <c r="N239" i="26"/>
  <c r="H256" i="26"/>
  <c r="H258" i="26"/>
  <c r="H260" i="26"/>
  <c r="H262" i="26"/>
  <c r="H264" i="26"/>
  <c r="H266" i="26"/>
  <c r="J32" i="27"/>
  <c r="J34" i="27"/>
  <c r="N53" i="27"/>
  <c r="H63" i="27"/>
  <c r="L106" i="32"/>
  <c r="J99" i="26"/>
  <c r="J107" i="26"/>
  <c r="N108" i="26"/>
  <c r="H163" i="26"/>
  <c r="N164" i="26"/>
  <c r="H166" i="26"/>
  <c r="H168" i="26"/>
  <c r="H170" i="26"/>
  <c r="H172" i="26"/>
  <c r="H174" i="26"/>
  <c r="L186" i="26"/>
  <c r="L188" i="26"/>
  <c r="L190" i="26"/>
  <c r="L192" i="26"/>
  <c r="L194" i="26"/>
  <c r="L196" i="26"/>
  <c r="F37" i="27"/>
  <c r="J39" i="27"/>
  <c r="H59" i="27"/>
  <c r="N61" i="27"/>
  <c r="F82" i="27"/>
  <c r="N99" i="27"/>
  <c r="M40" i="30"/>
  <c r="H48" i="30"/>
  <c r="L40" i="30"/>
  <c r="K40" i="30"/>
  <c r="J40" i="30"/>
  <c r="I40" i="30"/>
  <c r="N123" i="26"/>
  <c r="N126" i="26"/>
  <c r="N129" i="26"/>
  <c r="J165" i="26"/>
  <c r="H167" i="26"/>
  <c r="H169" i="26"/>
  <c r="H171" i="26"/>
  <c r="H173" i="26"/>
  <c r="H175" i="26"/>
  <c r="L185" i="26"/>
  <c r="L187" i="26"/>
  <c r="L189" i="26"/>
  <c r="L191" i="26"/>
  <c r="L193" i="26"/>
  <c r="L195" i="26"/>
  <c r="L197" i="26"/>
  <c r="F43" i="27"/>
  <c r="H53" i="27"/>
  <c r="N55" i="27"/>
  <c r="N80" i="26"/>
  <c r="N83" i="26"/>
  <c r="N86" i="26"/>
  <c r="H97" i="26"/>
  <c r="N98" i="26"/>
  <c r="L99" i="26"/>
  <c r="H100" i="26"/>
  <c r="N101" i="26"/>
  <c r="L102" i="26"/>
  <c r="H103" i="26"/>
  <c r="N104" i="26"/>
  <c r="L105" i="26"/>
  <c r="H106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229" i="26"/>
  <c r="H230" i="26"/>
  <c r="H231" i="26"/>
  <c r="H232" i="26"/>
  <c r="H233" i="26"/>
  <c r="H234" i="26"/>
  <c r="H235" i="26"/>
  <c r="H236" i="26"/>
  <c r="H237" i="26"/>
  <c r="H238" i="26"/>
  <c r="H239" i="26"/>
  <c r="H240" i="26"/>
  <c r="H241" i="26"/>
  <c r="L255" i="26"/>
  <c r="L256" i="26"/>
  <c r="L257" i="26"/>
  <c r="L258" i="26"/>
  <c r="L259" i="26"/>
  <c r="L260" i="26"/>
  <c r="L261" i="26"/>
  <c r="L262" i="26"/>
  <c r="L263" i="26"/>
  <c r="L264" i="26"/>
  <c r="L265" i="26"/>
  <c r="L266" i="26"/>
  <c r="L267" i="26"/>
  <c r="F35" i="27"/>
  <c r="J37" i="27"/>
  <c r="F41" i="27"/>
  <c r="J43" i="27"/>
  <c r="H56" i="27"/>
  <c r="N58" i="27"/>
  <c r="H62" i="27"/>
  <c r="F76" i="27"/>
  <c r="J85" i="27"/>
  <c r="F34" i="28"/>
  <c r="F48" i="29"/>
  <c r="F234" i="32"/>
  <c r="N281" i="32"/>
  <c r="N166" i="26"/>
  <c r="N167" i="26"/>
  <c r="N168" i="26"/>
  <c r="N169" i="26"/>
  <c r="N170" i="26"/>
  <c r="N171" i="26"/>
  <c r="N172" i="26"/>
  <c r="N173" i="26"/>
  <c r="N174" i="26"/>
  <c r="J229" i="26"/>
  <c r="J230" i="26"/>
  <c r="J231" i="26"/>
  <c r="J232" i="26"/>
  <c r="J233" i="26"/>
  <c r="J234" i="26"/>
  <c r="J235" i="26"/>
  <c r="J236" i="26"/>
  <c r="J237" i="26"/>
  <c r="J238" i="26"/>
  <c r="J239" i="26"/>
  <c r="J240" i="26"/>
  <c r="J241" i="26"/>
  <c r="N255" i="26"/>
  <c r="N256" i="26"/>
  <c r="N257" i="26"/>
  <c r="N258" i="26"/>
  <c r="N259" i="26"/>
  <c r="N260" i="26"/>
  <c r="N261" i="26"/>
  <c r="N262" i="26"/>
  <c r="N263" i="26"/>
  <c r="N264" i="26"/>
  <c r="N265" i="26"/>
  <c r="N266" i="26"/>
  <c r="F31" i="27"/>
  <c r="F32" i="27"/>
  <c r="F33" i="27"/>
  <c r="F34" i="27"/>
  <c r="J36" i="27"/>
  <c r="F40" i="27"/>
  <c r="J42" i="27"/>
  <c r="H55" i="27"/>
  <c r="N57" i="27"/>
  <c r="H61" i="27"/>
  <c r="N63" i="27"/>
  <c r="H65" i="27"/>
  <c r="J76" i="27"/>
  <c r="F83" i="27"/>
  <c r="D11" i="24"/>
  <c r="D20" i="24"/>
  <c r="D37" i="24"/>
  <c r="D54" i="24"/>
  <c r="D63" i="24"/>
  <c r="D85" i="24"/>
  <c r="D101" i="24"/>
  <c r="D106" i="24"/>
  <c r="D110" i="24"/>
  <c r="L10" i="26"/>
  <c r="J11" i="26"/>
  <c r="L13" i="26"/>
  <c r="J14" i="26"/>
  <c r="L16" i="26"/>
  <c r="J17" i="26"/>
  <c r="L19" i="26"/>
  <c r="J20" i="26"/>
  <c r="L97" i="26"/>
  <c r="H98" i="26"/>
  <c r="N99" i="26"/>
  <c r="L100" i="26"/>
  <c r="H101" i="26"/>
  <c r="N102" i="26"/>
  <c r="L103" i="26"/>
  <c r="H104" i="26"/>
  <c r="N105" i="26"/>
  <c r="L106" i="26"/>
  <c r="H107" i="26"/>
  <c r="H108" i="26"/>
  <c r="H109" i="26"/>
  <c r="L119" i="26"/>
  <c r="L120" i="26"/>
  <c r="L121" i="26"/>
  <c r="L122" i="26"/>
  <c r="L123" i="26"/>
  <c r="L124" i="26"/>
  <c r="L125" i="26"/>
  <c r="L126" i="26"/>
  <c r="L127" i="26"/>
  <c r="L128" i="26"/>
  <c r="L129" i="26"/>
  <c r="L130" i="26"/>
  <c r="L131" i="26"/>
  <c r="H185" i="26"/>
  <c r="H186" i="26"/>
  <c r="H187" i="26"/>
  <c r="H188" i="26"/>
  <c r="H189" i="26"/>
  <c r="H190" i="26"/>
  <c r="H191" i="26"/>
  <c r="H192" i="26"/>
  <c r="H193" i="26"/>
  <c r="H194" i="26"/>
  <c r="H195" i="26"/>
  <c r="H196" i="26"/>
  <c r="H197" i="26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35" i="27"/>
  <c r="F39" i="27"/>
  <c r="J41" i="27"/>
  <c r="H54" i="27"/>
  <c r="H60" i="27"/>
  <c r="F79" i="27"/>
  <c r="F86" i="27"/>
  <c r="J82" i="27"/>
  <c r="L82" i="32"/>
  <c r="N211" i="32"/>
  <c r="H255" i="32"/>
  <c r="L58" i="30"/>
  <c r="K58" i="30"/>
  <c r="J58" i="30"/>
  <c r="I58" i="30"/>
  <c r="M58" i="30"/>
  <c r="L148" i="30"/>
  <c r="K148" i="30"/>
  <c r="I148" i="30"/>
  <c r="M148" i="30"/>
  <c r="J148" i="30"/>
  <c r="H11" i="32"/>
  <c r="J125" i="32"/>
  <c r="F193" i="32"/>
  <c r="C146" i="28"/>
  <c r="C20" i="28"/>
  <c r="D13" i="24"/>
  <c r="D16" i="24"/>
  <c r="D19" i="24"/>
  <c r="D33" i="24"/>
  <c r="D36" i="24"/>
  <c r="D39" i="24"/>
  <c r="D42" i="24"/>
  <c r="D56" i="24"/>
  <c r="D59" i="24"/>
  <c r="D62" i="24"/>
  <c r="D65" i="24"/>
  <c r="H31" i="26"/>
  <c r="N31" i="26"/>
  <c r="H32" i="26"/>
  <c r="N32" i="26"/>
  <c r="H33" i="26"/>
  <c r="N33" i="26"/>
  <c r="H34" i="26"/>
  <c r="N34" i="26"/>
  <c r="H35" i="26"/>
  <c r="N35" i="26"/>
  <c r="H36" i="26"/>
  <c r="N36" i="26"/>
  <c r="H37" i="26"/>
  <c r="N37" i="26"/>
  <c r="H38" i="26"/>
  <c r="N38" i="26"/>
  <c r="H39" i="26"/>
  <c r="N39" i="26"/>
  <c r="H40" i="26"/>
  <c r="N40" i="26"/>
  <c r="H41" i="26"/>
  <c r="N41" i="26"/>
  <c r="H42" i="26"/>
  <c r="N42" i="26"/>
  <c r="H43" i="26"/>
  <c r="H9" i="27"/>
  <c r="N9" i="27"/>
  <c r="H10" i="27"/>
  <c r="N10" i="27"/>
  <c r="H11" i="27"/>
  <c r="N11" i="27"/>
  <c r="H12" i="27"/>
  <c r="N12" i="27"/>
  <c r="H13" i="27"/>
  <c r="N13" i="27"/>
  <c r="H14" i="27"/>
  <c r="N14" i="27"/>
  <c r="H15" i="27"/>
  <c r="N15" i="27"/>
  <c r="H16" i="27"/>
  <c r="N16" i="27"/>
  <c r="H17" i="27"/>
  <c r="N17" i="27"/>
  <c r="H18" i="27"/>
  <c r="N18" i="27"/>
  <c r="H19" i="27"/>
  <c r="N19" i="27"/>
  <c r="H20" i="27"/>
  <c r="N20" i="27"/>
  <c r="H21" i="27"/>
  <c r="F53" i="27"/>
  <c r="F54" i="27"/>
  <c r="F55" i="27"/>
  <c r="F56" i="27"/>
  <c r="F57" i="27"/>
  <c r="F58" i="27"/>
  <c r="F59" i="27"/>
  <c r="F60" i="27"/>
  <c r="F61" i="27"/>
  <c r="F62" i="27"/>
  <c r="F63" i="27"/>
  <c r="F64" i="27"/>
  <c r="F65" i="27"/>
  <c r="J77" i="27"/>
  <c r="J80" i="27"/>
  <c r="J84" i="27"/>
  <c r="F85" i="27"/>
  <c r="J87" i="27"/>
  <c r="D20" i="28"/>
  <c r="F90" i="29"/>
  <c r="L135" i="30"/>
  <c r="K135" i="30"/>
  <c r="I135" i="30"/>
  <c r="M135" i="30"/>
  <c r="J135" i="30"/>
  <c r="F20" i="30"/>
  <c r="M59" i="30"/>
  <c r="L59" i="30"/>
  <c r="K59" i="30"/>
  <c r="J59" i="30"/>
  <c r="I59" i="30"/>
  <c r="F148" i="32"/>
  <c r="J170" i="32"/>
  <c r="L107" i="26"/>
  <c r="L108" i="26"/>
  <c r="L109" i="26"/>
  <c r="J119" i="26"/>
  <c r="J120" i="26"/>
  <c r="J121" i="26"/>
  <c r="J122" i="26"/>
  <c r="J123" i="26"/>
  <c r="J124" i="26"/>
  <c r="J125" i="26"/>
  <c r="J126" i="26"/>
  <c r="J127" i="26"/>
  <c r="J128" i="26"/>
  <c r="J129" i="26"/>
  <c r="J130" i="26"/>
  <c r="J131" i="26"/>
  <c r="L163" i="26"/>
  <c r="L164" i="26"/>
  <c r="L165" i="26"/>
  <c r="L166" i="26"/>
  <c r="L167" i="26"/>
  <c r="L168" i="26"/>
  <c r="L169" i="26"/>
  <c r="L170" i="26"/>
  <c r="L171" i="26"/>
  <c r="L172" i="26"/>
  <c r="L173" i="26"/>
  <c r="L174" i="26"/>
  <c r="L175" i="26"/>
  <c r="J185" i="26"/>
  <c r="J186" i="26"/>
  <c r="J187" i="26"/>
  <c r="J188" i="26"/>
  <c r="J189" i="26"/>
  <c r="J190" i="26"/>
  <c r="J191" i="26"/>
  <c r="J192" i="26"/>
  <c r="J193" i="26"/>
  <c r="J194" i="26"/>
  <c r="J195" i="26"/>
  <c r="J196" i="26"/>
  <c r="J197" i="26"/>
  <c r="L229" i="26"/>
  <c r="L230" i="26"/>
  <c r="L231" i="26"/>
  <c r="L232" i="26"/>
  <c r="L233" i="26"/>
  <c r="L234" i="26"/>
  <c r="L235" i="26"/>
  <c r="L236" i="26"/>
  <c r="L237" i="26"/>
  <c r="L238" i="26"/>
  <c r="L239" i="26"/>
  <c r="L240" i="26"/>
  <c r="L241" i="26"/>
  <c r="J255" i="26"/>
  <c r="J256" i="26"/>
  <c r="J257" i="26"/>
  <c r="J258" i="26"/>
  <c r="J259" i="26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F75" i="27"/>
  <c r="F78" i="27"/>
  <c r="F81" i="27"/>
  <c r="F20" i="29"/>
  <c r="F62" i="29"/>
  <c r="C104" i="29"/>
  <c r="L39" i="30"/>
  <c r="K39" i="30"/>
  <c r="J39" i="30"/>
  <c r="I39" i="30"/>
  <c r="M39" i="30"/>
  <c r="L109" i="30"/>
  <c r="K109" i="30"/>
  <c r="I109" i="30"/>
  <c r="M109" i="30"/>
  <c r="J109" i="30"/>
  <c r="H14" i="32"/>
  <c r="H174" i="32"/>
  <c r="H189" i="32"/>
  <c r="H231" i="32"/>
  <c r="F77" i="27"/>
  <c r="F80" i="27"/>
  <c r="C48" i="28"/>
  <c r="C76" i="28"/>
  <c r="C104" i="28"/>
  <c r="C132" i="28"/>
  <c r="K112" i="29"/>
  <c r="J112" i="29"/>
  <c r="I112" i="29"/>
  <c r="F34" i="29"/>
  <c r="F118" i="29"/>
  <c r="L19" i="30"/>
  <c r="K19" i="30"/>
  <c r="J19" i="30"/>
  <c r="I19" i="30"/>
  <c r="M19" i="30"/>
  <c r="L78" i="30"/>
  <c r="K78" i="30"/>
  <c r="J78" i="30"/>
  <c r="I78" i="30"/>
  <c r="M78" i="30"/>
  <c r="C104" i="30"/>
  <c r="H17" i="32"/>
  <c r="D12" i="24"/>
  <c r="D15" i="24"/>
  <c r="D18" i="24"/>
  <c r="D21" i="24"/>
  <c r="D32" i="24"/>
  <c r="D35" i="24"/>
  <c r="D38" i="24"/>
  <c r="D41" i="24"/>
  <c r="D44" i="24"/>
  <c r="D55" i="24"/>
  <c r="D58" i="24"/>
  <c r="D61" i="24"/>
  <c r="D64" i="24"/>
  <c r="D67" i="24"/>
  <c r="L31" i="26"/>
  <c r="L32" i="26"/>
  <c r="L33" i="26"/>
  <c r="L34" i="26"/>
  <c r="L35" i="26"/>
  <c r="L36" i="26"/>
  <c r="L37" i="26"/>
  <c r="L38" i="26"/>
  <c r="L39" i="26"/>
  <c r="L40" i="26"/>
  <c r="L41" i="26"/>
  <c r="L42" i="26"/>
  <c r="L43" i="26"/>
  <c r="F9" i="27"/>
  <c r="L9" i="27"/>
  <c r="F10" i="27"/>
  <c r="L10" i="27"/>
  <c r="F11" i="27"/>
  <c r="L11" i="27"/>
  <c r="F12" i="27"/>
  <c r="L12" i="27"/>
  <c r="F13" i="27"/>
  <c r="L13" i="27"/>
  <c r="F14" i="27"/>
  <c r="L14" i="27"/>
  <c r="F15" i="27"/>
  <c r="L15" i="27"/>
  <c r="F16" i="27"/>
  <c r="L16" i="27"/>
  <c r="F17" i="27"/>
  <c r="L17" i="27"/>
  <c r="F18" i="27"/>
  <c r="L18" i="27"/>
  <c r="F19" i="27"/>
  <c r="L19" i="27"/>
  <c r="F20" i="27"/>
  <c r="L20" i="27"/>
  <c r="F21" i="27"/>
  <c r="L21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75" i="27"/>
  <c r="J78" i="27"/>
  <c r="J81" i="27"/>
  <c r="J83" i="27"/>
  <c r="F84" i="27"/>
  <c r="J86" i="27"/>
  <c r="F87" i="27"/>
  <c r="C76" i="29"/>
  <c r="M79" i="30"/>
  <c r="L79" i="30"/>
  <c r="K79" i="30"/>
  <c r="J79" i="30"/>
  <c r="I79" i="30"/>
  <c r="M84" i="30"/>
  <c r="L84" i="30"/>
  <c r="K84" i="30"/>
  <c r="J84" i="30"/>
  <c r="I84" i="30"/>
  <c r="M136" i="30"/>
  <c r="L136" i="30"/>
  <c r="J136" i="30"/>
  <c r="K136" i="30"/>
  <c r="I136" i="30"/>
  <c r="J59" i="32"/>
  <c r="N103" i="32"/>
  <c r="L122" i="32"/>
  <c r="H141" i="32"/>
  <c r="L163" i="32"/>
  <c r="L218" i="32"/>
  <c r="L241" i="32"/>
  <c r="D48" i="28"/>
  <c r="C20" i="29"/>
  <c r="C34" i="29"/>
  <c r="C48" i="29"/>
  <c r="C62" i="29"/>
  <c r="E76" i="29"/>
  <c r="E132" i="29"/>
  <c r="E160" i="29"/>
  <c r="E160" i="30"/>
  <c r="C62" i="30"/>
  <c r="D76" i="30"/>
  <c r="E90" i="30"/>
  <c r="L20" i="32"/>
  <c r="J33" i="32"/>
  <c r="J42" i="32"/>
  <c r="L97" i="32"/>
  <c r="J104" i="32"/>
  <c r="H123" i="32"/>
  <c r="F168" i="32"/>
  <c r="N193" i="32"/>
  <c r="J212" i="32"/>
  <c r="L238" i="32"/>
  <c r="H252" i="32"/>
  <c r="H261" i="32"/>
  <c r="E20" i="28"/>
  <c r="E48" i="28"/>
  <c r="E20" i="29"/>
  <c r="E48" i="29"/>
  <c r="F160" i="30"/>
  <c r="C48" i="30"/>
  <c r="D62" i="30"/>
  <c r="E76" i="30"/>
  <c r="F90" i="30"/>
  <c r="H9" i="32"/>
  <c r="H12" i="32"/>
  <c r="H15" i="32"/>
  <c r="H18" i="32"/>
  <c r="J56" i="32"/>
  <c r="J65" i="32"/>
  <c r="F78" i="32"/>
  <c r="H99" i="32"/>
  <c r="L131" i="32"/>
  <c r="L143" i="32"/>
  <c r="H150" i="32"/>
  <c r="N169" i="32"/>
  <c r="L188" i="32"/>
  <c r="H207" i="32"/>
  <c r="F214" i="32"/>
  <c r="H279" i="32"/>
  <c r="G20" i="29"/>
  <c r="G48" i="29"/>
  <c r="E104" i="29"/>
  <c r="H10" i="32"/>
  <c r="H13" i="32"/>
  <c r="H16" i="32"/>
  <c r="H19" i="32"/>
  <c r="J53" i="32"/>
  <c r="J62" i="32"/>
  <c r="F87" i="32"/>
  <c r="H108" i="32"/>
  <c r="F127" i="32"/>
  <c r="N145" i="32"/>
  <c r="L152" i="32"/>
  <c r="H165" i="32"/>
  <c r="L197" i="32"/>
  <c r="L209" i="32"/>
  <c r="H216" i="32"/>
  <c r="N235" i="32"/>
  <c r="H19" i="33"/>
  <c r="H75" i="27"/>
  <c r="H76" i="27"/>
  <c r="H77" i="27"/>
  <c r="H78" i="27"/>
  <c r="H79" i="27"/>
  <c r="H80" i="27"/>
  <c r="H81" i="27"/>
  <c r="H82" i="27"/>
  <c r="H83" i="27"/>
  <c r="H84" i="27"/>
  <c r="H85" i="27"/>
  <c r="H86" i="27"/>
  <c r="H87" i="27"/>
  <c r="J36" i="32"/>
  <c r="F102" i="32"/>
  <c r="N127" i="32"/>
  <c r="J146" i="32"/>
  <c r="L172" i="32"/>
  <c r="J191" i="32"/>
  <c r="L229" i="32"/>
  <c r="J236" i="32"/>
  <c r="H258" i="32"/>
  <c r="L274" i="32"/>
  <c r="G76" i="29"/>
  <c r="D48" i="30"/>
  <c r="F76" i="30"/>
  <c r="L9" i="32"/>
  <c r="L10" i="32"/>
  <c r="L11" i="32"/>
  <c r="L12" i="32"/>
  <c r="L13" i="32"/>
  <c r="L14" i="32"/>
  <c r="L15" i="32"/>
  <c r="L16" i="32"/>
  <c r="L17" i="32"/>
  <c r="L18" i="32"/>
  <c r="L19" i="32"/>
  <c r="J55" i="32"/>
  <c r="J58" i="32"/>
  <c r="J61" i="32"/>
  <c r="J64" i="32"/>
  <c r="F76" i="32"/>
  <c r="N97" i="32"/>
  <c r="H102" i="32"/>
  <c r="N106" i="32"/>
  <c r="F121" i="32"/>
  <c r="L125" i="32"/>
  <c r="F130" i="32"/>
  <c r="F142" i="32"/>
  <c r="H144" i="32"/>
  <c r="L146" i="32"/>
  <c r="N148" i="32"/>
  <c r="F151" i="32"/>
  <c r="H153" i="32"/>
  <c r="N163" i="32"/>
  <c r="H168" i="32"/>
  <c r="N172" i="32"/>
  <c r="F187" i="32"/>
  <c r="L191" i="32"/>
  <c r="F196" i="32"/>
  <c r="F208" i="32"/>
  <c r="H210" i="32"/>
  <c r="L212" i="32"/>
  <c r="N214" i="32"/>
  <c r="F217" i="32"/>
  <c r="H219" i="32"/>
  <c r="N229" i="32"/>
  <c r="H234" i="32"/>
  <c r="N275" i="32"/>
  <c r="L78" i="33"/>
  <c r="J11" i="35"/>
  <c r="F103" i="35"/>
  <c r="N9" i="32"/>
  <c r="N10" i="32"/>
  <c r="N11" i="32"/>
  <c r="N12" i="32"/>
  <c r="N13" i="32"/>
  <c r="N14" i="32"/>
  <c r="N15" i="32"/>
  <c r="N16" i="32"/>
  <c r="N17" i="32"/>
  <c r="N18" i="32"/>
  <c r="N19" i="32"/>
  <c r="F21" i="32"/>
  <c r="J32" i="32"/>
  <c r="J35" i="32"/>
  <c r="J38" i="32"/>
  <c r="J41" i="32"/>
  <c r="F86" i="32"/>
  <c r="L76" i="32"/>
  <c r="F81" i="32"/>
  <c r="L85" i="32"/>
  <c r="J98" i="32"/>
  <c r="L100" i="32"/>
  <c r="F105" i="32"/>
  <c r="J107" i="32"/>
  <c r="L109" i="32"/>
  <c r="J119" i="32"/>
  <c r="N121" i="32"/>
  <c r="H126" i="32"/>
  <c r="J128" i="32"/>
  <c r="N130" i="32"/>
  <c r="J149" i="32"/>
  <c r="J164" i="32"/>
  <c r="L166" i="32"/>
  <c r="F171" i="32"/>
  <c r="J173" i="32"/>
  <c r="L175" i="32"/>
  <c r="J185" i="32"/>
  <c r="N187" i="32"/>
  <c r="H192" i="32"/>
  <c r="J194" i="32"/>
  <c r="N196" i="32"/>
  <c r="J215" i="32"/>
  <c r="J230" i="32"/>
  <c r="L232" i="32"/>
  <c r="F237" i="32"/>
  <c r="L239" i="32"/>
  <c r="H253" i="32"/>
  <c r="H256" i="32"/>
  <c r="H259" i="32"/>
  <c r="H262" i="32"/>
  <c r="H273" i="32"/>
  <c r="J280" i="32"/>
  <c r="F284" i="32"/>
  <c r="J33" i="33"/>
  <c r="I30" i="37"/>
  <c r="H30" i="37"/>
  <c r="Q15" i="38"/>
  <c r="P15" i="38"/>
  <c r="D20" i="30"/>
  <c r="F48" i="30"/>
  <c r="J54" i="32"/>
  <c r="J57" i="32"/>
  <c r="J60" i="32"/>
  <c r="J63" i="32"/>
  <c r="N100" i="32"/>
  <c r="H105" i="32"/>
  <c r="L119" i="32"/>
  <c r="F124" i="32"/>
  <c r="L128" i="32"/>
  <c r="N142" i="32"/>
  <c r="F145" i="32"/>
  <c r="H147" i="32"/>
  <c r="L149" i="32"/>
  <c r="N151" i="32"/>
  <c r="N166" i="32"/>
  <c r="H171" i="32"/>
  <c r="L185" i="32"/>
  <c r="F190" i="32"/>
  <c r="L194" i="32"/>
  <c r="N208" i="32"/>
  <c r="F211" i="32"/>
  <c r="H213" i="32"/>
  <c r="L215" i="32"/>
  <c r="N217" i="32"/>
  <c r="N232" i="32"/>
  <c r="H237" i="32"/>
  <c r="L280" i="32"/>
  <c r="N9" i="33"/>
  <c r="F16" i="33"/>
  <c r="L84" i="33"/>
  <c r="J17" i="35"/>
  <c r="L56" i="35"/>
  <c r="J20" i="38"/>
  <c r="I20" i="38"/>
  <c r="F9" i="32"/>
  <c r="F10" i="32"/>
  <c r="F11" i="32"/>
  <c r="F12" i="32"/>
  <c r="F13" i="32"/>
  <c r="F14" i="32"/>
  <c r="F15" i="32"/>
  <c r="F16" i="32"/>
  <c r="F17" i="32"/>
  <c r="F18" i="32"/>
  <c r="F19" i="32"/>
  <c r="F20" i="32"/>
  <c r="L21" i="32"/>
  <c r="J31" i="32"/>
  <c r="J34" i="32"/>
  <c r="J37" i="32"/>
  <c r="J40" i="32"/>
  <c r="J43" i="32"/>
  <c r="J75" i="32"/>
  <c r="L79" i="32"/>
  <c r="F84" i="32"/>
  <c r="F99" i="32"/>
  <c r="J101" i="32"/>
  <c r="L103" i="32"/>
  <c r="F108" i="32"/>
  <c r="H120" i="32"/>
  <c r="J122" i="32"/>
  <c r="N124" i="32"/>
  <c r="H129" i="32"/>
  <c r="J131" i="32"/>
  <c r="J143" i="32"/>
  <c r="J152" i="32"/>
  <c r="F165" i="32"/>
  <c r="J167" i="32"/>
  <c r="L169" i="32"/>
  <c r="F174" i="32"/>
  <c r="H186" i="32"/>
  <c r="J188" i="32"/>
  <c r="N190" i="32"/>
  <c r="H195" i="32"/>
  <c r="J197" i="32"/>
  <c r="J209" i="32"/>
  <c r="J218" i="32"/>
  <c r="F231" i="32"/>
  <c r="J233" i="32"/>
  <c r="L235" i="32"/>
  <c r="L240" i="32"/>
  <c r="H251" i="32"/>
  <c r="H254" i="32"/>
  <c r="H257" i="32"/>
  <c r="H260" i="32"/>
  <c r="H263" i="32"/>
  <c r="J274" i="32"/>
  <c r="F278" i="32"/>
  <c r="N11" i="33"/>
  <c r="F31" i="32"/>
  <c r="L31" i="32"/>
  <c r="F32" i="32"/>
  <c r="L32" i="32"/>
  <c r="F33" i="32"/>
  <c r="L33" i="32"/>
  <c r="F34" i="32"/>
  <c r="L34" i="32"/>
  <c r="F35" i="32"/>
  <c r="L35" i="32"/>
  <c r="F36" i="32"/>
  <c r="L36" i="32"/>
  <c r="F37" i="32"/>
  <c r="L37" i="32"/>
  <c r="F38" i="32"/>
  <c r="L38" i="32"/>
  <c r="F39" i="32"/>
  <c r="L39" i="32"/>
  <c r="F40" i="32"/>
  <c r="L40" i="32"/>
  <c r="F41" i="32"/>
  <c r="L41" i="32"/>
  <c r="F42" i="32"/>
  <c r="L42" i="32"/>
  <c r="F43" i="32"/>
  <c r="L43" i="32"/>
  <c r="L75" i="32"/>
  <c r="L77" i="32"/>
  <c r="L80" i="32"/>
  <c r="L83" i="32"/>
  <c r="L86" i="32"/>
  <c r="F97" i="32"/>
  <c r="L98" i="32"/>
  <c r="J99" i="32"/>
  <c r="F100" i="32"/>
  <c r="L101" i="32"/>
  <c r="J102" i="32"/>
  <c r="F103" i="32"/>
  <c r="L104" i="32"/>
  <c r="J105" i="32"/>
  <c r="F106" i="32"/>
  <c r="L107" i="32"/>
  <c r="J108" i="32"/>
  <c r="F109" i="32"/>
  <c r="J141" i="32"/>
  <c r="J144" i="32"/>
  <c r="J147" i="32"/>
  <c r="J150" i="32"/>
  <c r="J153" i="32"/>
  <c r="F163" i="32"/>
  <c r="L164" i="32"/>
  <c r="J165" i="32"/>
  <c r="F166" i="32"/>
  <c r="L167" i="32"/>
  <c r="J168" i="32"/>
  <c r="F169" i="32"/>
  <c r="L170" i="32"/>
  <c r="J171" i="32"/>
  <c r="F172" i="32"/>
  <c r="L173" i="32"/>
  <c r="J174" i="32"/>
  <c r="F175" i="32"/>
  <c r="J207" i="32"/>
  <c r="J210" i="32"/>
  <c r="J213" i="32"/>
  <c r="J216" i="32"/>
  <c r="J219" i="32"/>
  <c r="F229" i="32"/>
  <c r="L230" i="32"/>
  <c r="J231" i="32"/>
  <c r="F232" i="32"/>
  <c r="L233" i="32"/>
  <c r="J234" i="32"/>
  <c r="F235" i="32"/>
  <c r="L236" i="32"/>
  <c r="J237" i="32"/>
  <c r="F238" i="32"/>
  <c r="N273" i="32"/>
  <c r="L278" i="32"/>
  <c r="N279" i="32"/>
  <c r="L284" i="32"/>
  <c r="J12" i="33"/>
  <c r="L14" i="33"/>
  <c r="N16" i="33"/>
  <c r="H20" i="33"/>
  <c r="L80" i="33"/>
  <c r="L86" i="33"/>
  <c r="J13" i="35"/>
  <c r="J19" i="35"/>
  <c r="J107" i="35"/>
  <c r="J22" i="38"/>
  <c r="I22" i="38"/>
  <c r="L10" i="44"/>
  <c r="M10" i="44"/>
  <c r="N10" i="44"/>
  <c r="H20" i="32"/>
  <c r="N20" i="32"/>
  <c r="H21" i="32"/>
  <c r="F53" i="32"/>
  <c r="L53" i="32"/>
  <c r="F54" i="32"/>
  <c r="L54" i="32"/>
  <c r="F55" i="32"/>
  <c r="L55" i="32"/>
  <c r="F56" i="32"/>
  <c r="L56" i="32"/>
  <c r="F57" i="32"/>
  <c r="L57" i="32"/>
  <c r="F58" i="32"/>
  <c r="L58" i="32"/>
  <c r="F59" i="32"/>
  <c r="L59" i="32"/>
  <c r="F60" i="32"/>
  <c r="L60" i="32"/>
  <c r="F61" i="32"/>
  <c r="L61" i="32"/>
  <c r="F62" i="32"/>
  <c r="L62" i="32"/>
  <c r="F63" i="32"/>
  <c r="L63" i="32"/>
  <c r="F64" i="32"/>
  <c r="L64" i="32"/>
  <c r="F65" i="32"/>
  <c r="L65" i="32"/>
  <c r="F75" i="32"/>
  <c r="H97" i="32"/>
  <c r="N98" i="32"/>
  <c r="H100" i="32"/>
  <c r="N101" i="32"/>
  <c r="H103" i="32"/>
  <c r="N104" i="32"/>
  <c r="H106" i="32"/>
  <c r="N107" i="32"/>
  <c r="H109" i="32"/>
  <c r="L141" i="32"/>
  <c r="H142" i="32"/>
  <c r="F143" i="32"/>
  <c r="N143" i="32"/>
  <c r="L144" i="32"/>
  <c r="H145" i="32"/>
  <c r="F146" i="32"/>
  <c r="N146" i="32"/>
  <c r="L147" i="32"/>
  <c r="H148" i="32"/>
  <c r="F149" i="32"/>
  <c r="N149" i="32"/>
  <c r="L150" i="32"/>
  <c r="H151" i="32"/>
  <c r="F152" i="32"/>
  <c r="N152" i="32"/>
  <c r="L153" i="32"/>
  <c r="H163" i="32"/>
  <c r="N164" i="32"/>
  <c r="H166" i="32"/>
  <c r="N167" i="32"/>
  <c r="H169" i="32"/>
  <c r="N170" i="32"/>
  <c r="H172" i="32"/>
  <c r="N173" i="32"/>
  <c r="H175" i="32"/>
  <c r="L207" i="32"/>
  <c r="H208" i="32"/>
  <c r="F209" i="32"/>
  <c r="N209" i="32"/>
  <c r="L210" i="32"/>
  <c r="H211" i="32"/>
  <c r="F212" i="32"/>
  <c r="N212" i="32"/>
  <c r="L213" i="32"/>
  <c r="H214" i="32"/>
  <c r="F215" i="32"/>
  <c r="N215" i="32"/>
  <c r="L216" i="32"/>
  <c r="H217" i="32"/>
  <c r="F218" i="32"/>
  <c r="N218" i="32"/>
  <c r="L219" i="32"/>
  <c r="H229" i="32"/>
  <c r="N230" i="32"/>
  <c r="H232" i="32"/>
  <c r="N233" i="32"/>
  <c r="H235" i="32"/>
  <c r="N236" i="32"/>
  <c r="H238" i="32"/>
  <c r="F239" i="32"/>
  <c r="F240" i="32"/>
  <c r="F241" i="32"/>
  <c r="J251" i="32"/>
  <c r="J252" i="32"/>
  <c r="J253" i="32"/>
  <c r="J254" i="32"/>
  <c r="J255" i="32"/>
  <c r="J256" i="32"/>
  <c r="J257" i="32"/>
  <c r="J258" i="32"/>
  <c r="J259" i="32"/>
  <c r="J260" i="32"/>
  <c r="J261" i="32"/>
  <c r="J262" i="32"/>
  <c r="J263" i="32"/>
  <c r="F275" i="32"/>
  <c r="H276" i="32"/>
  <c r="J277" i="32"/>
  <c r="F281" i="32"/>
  <c r="H282" i="32"/>
  <c r="J283" i="32"/>
  <c r="J10" i="33"/>
  <c r="N14" i="33"/>
  <c r="H31" i="33"/>
  <c r="L37" i="35"/>
  <c r="P11" i="39"/>
  <c r="Q11" i="39"/>
  <c r="H31" i="32"/>
  <c r="N31" i="32"/>
  <c r="H32" i="32"/>
  <c r="N32" i="32"/>
  <c r="H33" i="32"/>
  <c r="N33" i="32"/>
  <c r="H34" i="32"/>
  <c r="N34" i="32"/>
  <c r="H35" i="32"/>
  <c r="N35" i="32"/>
  <c r="H36" i="32"/>
  <c r="N36" i="32"/>
  <c r="H37" i="32"/>
  <c r="N37" i="32"/>
  <c r="H38" i="32"/>
  <c r="N38" i="32"/>
  <c r="H39" i="32"/>
  <c r="N39" i="32"/>
  <c r="H40" i="32"/>
  <c r="N40" i="32"/>
  <c r="H41" i="32"/>
  <c r="N41" i="32"/>
  <c r="H42" i="32"/>
  <c r="N42" i="32"/>
  <c r="H43" i="32"/>
  <c r="L78" i="32"/>
  <c r="L81" i="32"/>
  <c r="L84" i="32"/>
  <c r="L87" i="32"/>
  <c r="J97" i="32"/>
  <c r="F98" i="32"/>
  <c r="L99" i="32"/>
  <c r="J100" i="32"/>
  <c r="F101" i="32"/>
  <c r="L102" i="32"/>
  <c r="J103" i="32"/>
  <c r="F104" i="32"/>
  <c r="L105" i="32"/>
  <c r="J106" i="32"/>
  <c r="F107" i="32"/>
  <c r="L108" i="32"/>
  <c r="J109" i="32"/>
  <c r="J142" i="32"/>
  <c r="J145" i="32"/>
  <c r="J148" i="32"/>
  <c r="J151" i="32"/>
  <c r="J163" i="32"/>
  <c r="F164" i="32"/>
  <c r="L165" i="32"/>
  <c r="J166" i="32"/>
  <c r="F167" i="32"/>
  <c r="L168" i="32"/>
  <c r="J169" i="32"/>
  <c r="F170" i="32"/>
  <c r="L171" i="32"/>
  <c r="J172" i="32"/>
  <c r="F173" i="32"/>
  <c r="L174" i="32"/>
  <c r="J175" i="32"/>
  <c r="J208" i="32"/>
  <c r="J211" i="32"/>
  <c r="J214" i="32"/>
  <c r="J217" i="32"/>
  <c r="J229" i="32"/>
  <c r="F230" i="32"/>
  <c r="L231" i="32"/>
  <c r="J232" i="32"/>
  <c r="F233" i="32"/>
  <c r="L234" i="32"/>
  <c r="J235" i="32"/>
  <c r="F236" i="32"/>
  <c r="L237" i="32"/>
  <c r="J238" i="32"/>
  <c r="J239" i="32"/>
  <c r="J240" i="32"/>
  <c r="J241" i="32"/>
  <c r="N251" i="32"/>
  <c r="N252" i="32"/>
  <c r="N253" i="32"/>
  <c r="N254" i="32"/>
  <c r="N255" i="32"/>
  <c r="N256" i="32"/>
  <c r="N257" i="32"/>
  <c r="N258" i="32"/>
  <c r="N259" i="32"/>
  <c r="L277" i="32"/>
  <c r="N278" i="32"/>
  <c r="L283" i="32"/>
  <c r="F13" i="33"/>
  <c r="H32" i="33"/>
  <c r="L76" i="33"/>
  <c r="L82" i="33"/>
  <c r="J9" i="35"/>
  <c r="J15" i="35"/>
  <c r="J21" i="35"/>
  <c r="L40" i="35"/>
  <c r="H77" i="35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H98" i="32"/>
  <c r="N99" i="32"/>
  <c r="H101" i="32"/>
  <c r="N102" i="32"/>
  <c r="H104" i="32"/>
  <c r="N105" i="32"/>
  <c r="H107" i="32"/>
  <c r="N108" i="32"/>
  <c r="F141" i="32"/>
  <c r="N141" i="32"/>
  <c r="L142" i="32"/>
  <c r="H143" i="32"/>
  <c r="F144" i="32"/>
  <c r="N144" i="32"/>
  <c r="L145" i="32"/>
  <c r="H146" i="32"/>
  <c r="F147" i="32"/>
  <c r="N147" i="32"/>
  <c r="L148" i="32"/>
  <c r="H149" i="32"/>
  <c r="F150" i="32"/>
  <c r="N150" i="32"/>
  <c r="L151" i="32"/>
  <c r="H152" i="32"/>
  <c r="F153" i="32"/>
  <c r="H164" i="32"/>
  <c r="N165" i="32"/>
  <c r="H167" i="32"/>
  <c r="N168" i="32"/>
  <c r="H170" i="32"/>
  <c r="N171" i="32"/>
  <c r="H173" i="32"/>
  <c r="N174" i="32"/>
  <c r="F207" i="32"/>
  <c r="N207" i="32"/>
  <c r="L208" i="32"/>
  <c r="H209" i="32"/>
  <c r="F210" i="32"/>
  <c r="N210" i="32"/>
  <c r="L211" i="32"/>
  <c r="H212" i="32"/>
  <c r="F213" i="32"/>
  <c r="N213" i="32"/>
  <c r="L214" i="32"/>
  <c r="H215" i="32"/>
  <c r="F216" i="32"/>
  <c r="N216" i="32"/>
  <c r="L217" i="32"/>
  <c r="H218" i="32"/>
  <c r="F219" i="32"/>
  <c r="H230" i="32"/>
  <c r="N231" i="32"/>
  <c r="H233" i="32"/>
  <c r="N234" i="32"/>
  <c r="H236" i="32"/>
  <c r="N237" i="32"/>
  <c r="L275" i="32"/>
  <c r="N276" i="32"/>
  <c r="L281" i="32"/>
  <c r="N282" i="32"/>
  <c r="H285" i="32"/>
  <c r="F11" i="33"/>
  <c r="J15" i="33"/>
  <c r="J32" i="33"/>
  <c r="H36" i="33"/>
  <c r="J54" i="35"/>
  <c r="H64" i="35"/>
  <c r="H80" i="35"/>
  <c r="I38" i="37"/>
  <c r="H38" i="37"/>
  <c r="N284" i="32"/>
  <c r="F9" i="33"/>
  <c r="H11" i="33"/>
  <c r="N12" i="33"/>
  <c r="J13" i="33"/>
  <c r="F14" i="33"/>
  <c r="F17" i="33"/>
  <c r="H18" i="33"/>
  <c r="J31" i="33"/>
  <c r="F53" i="33"/>
  <c r="F55" i="33"/>
  <c r="F57" i="33"/>
  <c r="F59" i="33"/>
  <c r="F61" i="33"/>
  <c r="F63" i="33"/>
  <c r="F65" i="33"/>
  <c r="L9" i="35"/>
  <c r="L11" i="35"/>
  <c r="L13" i="35"/>
  <c r="L15" i="35"/>
  <c r="L17" i="35"/>
  <c r="L19" i="35"/>
  <c r="L21" i="35"/>
  <c r="H61" i="35"/>
  <c r="F75" i="35"/>
  <c r="E87" i="35"/>
  <c r="L81" i="35"/>
  <c r="F86" i="35"/>
  <c r="F97" i="35"/>
  <c r="E109" i="35"/>
  <c r="F109" i="35" s="1"/>
  <c r="L103" i="35"/>
  <c r="J16" i="38"/>
  <c r="I16" i="38"/>
  <c r="J32" i="38"/>
  <c r="I32" i="38"/>
  <c r="H7" i="41"/>
  <c r="G7" i="41"/>
  <c r="I7" i="41"/>
  <c r="M10" i="45"/>
  <c r="N10" i="45"/>
  <c r="L10" i="45"/>
  <c r="H9" i="33"/>
  <c r="L10" i="33"/>
  <c r="F12" i="33"/>
  <c r="H14" i="33"/>
  <c r="N15" i="33"/>
  <c r="J16" i="33"/>
  <c r="H17" i="33"/>
  <c r="H35" i="33"/>
  <c r="J31" i="35"/>
  <c r="L33" i="35"/>
  <c r="H42" i="35"/>
  <c r="L65" i="35"/>
  <c r="H58" i="35"/>
  <c r="L78" i="35"/>
  <c r="L86" i="35"/>
  <c r="L97" i="35"/>
  <c r="K109" i="35"/>
  <c r="N238" i="32"/>
  <c r="H239" i="32"/>
  <c r="N239" i="32"/>
  <c r="H240" i="32"/>
  <c r="N240" i="32"/>
  <c r="H241" i="32"/>
  <c r="N10" i="33"/>
  <c r="H12" i="33"/>
  <c r="L13" i="33"/>
  <c r="F15" i="33"/>
  <c r="H34" i="33"/>
  <c r="J10" i="35"/>
  <c r="J12" i="35"/>
  <c r="J14" i="35"/>
  <c r="J16" i="35"/>
  <c r="J18" i="35"/>
  <c r="J20" i="35"/>
  <c r="L31" i="35"/>
  <c r="H39" i="35"/>
  <c r="F56" i="35"/>
  <c r="L62" i="35"/>
  <c r="K87" i="35"/>
  <c r="L75" i="35"/>
  <c r="Q12" i="38"/>
  <c r="P12" i="38"/>
  <c r="J36" i="38"/>
  <c r="I36" i="38"/>
  <c r="J9" i="33"/>
  <c r="F10" i="33"/>
  <c r="L11" i="33"/>
  <c r="N13" i="33"/>
  <c r="H15" i="33"/>
  <c r="L16" i="33"/>
  <c r="H21" i="33"/>
  <c r="F43" i="33"/>
  <c r="H33" i="33"/>
  <c r="J34" i="33"/>
  <c r="F54" i="33"/>
  <c r="F56" i="33"/>
  <c r="F58" i="33"/>
  <c r="F60" i="33"/>
  <c r="F62" i="33"/>
  <c r="F64" i="33"/>
  <c r="L10" i="35"/>
  <c r="L12" i="35"/>
  <c r="L14" i="35"/>
  <c r="L16" i="35"/>
  <c r="L18" i="35"/>
  <c r="L20" i="35"/>
  <c r="J32" i="35"/>
  <c r="L34" i="35"/>
  <c r="F37" i="35"/>
  <c r="F53" i="35"/>
  <c r="L59" i="35"/>
  <c r="L9" i="33"/>
  <c r="H10" i="33"/>
  <c r="J11" i="33"/>
  <c r="L12" i="33"/>
  <c r="H13" i="33"/>
  <c r="J14" i="33"/>
  <c r="L15" i="33"/>
  <c r="H16" i="33"/>
  <c r="N17" i="33"/>
  <c r="N18" i="33"/>
  <c r="N19" i="33"/>
  <c r="N20" i="33"/>
  <c r="F34" i="35"/>
  <c r="L53" i="35"/>
  <c r="J63" i="35"/>
  <c r="J82" i="35"/>
  <c r="L84" i="35"/>
  <c r="J101" i="35"/>
  <c r="J28" i="38"/>
  <c r="I28" i="38"/>
  <c r="I126" i="41"/>
  <c r="G126" i="41"/>
  <c r="H126" i="41"/>
  <c r="H37" i="33"/>
  <c r="H38" i="33"/>
  <c r="H39" i="33"/>
  <c r="H40" i="33"/>
  <c r="H41" i="33"/>
  <c r="H42" i="33"/>
  <c r="H43" i="33"/>
  <c r="F75" i="33"/>
  <c r="F76" i="33"/>
  <c r="F77" i="33"/>
  <c r="F78" i="33"/>
  <c r="F79" i="33"/>
  <c r="F80" i="33"/>
  <c r="F81" i="33"/>
  <c r="F82" i="33"/>
  <c r="F83" i="33"/>
  <c r="F84" i="33"/>
  <c r="F85" i="33"/>
  <c r="F86" i="33"/>
  <c r="F87" i="33"/>
  <c r="J104" i="35"/>
  <c r="F33" i="35"/>
  <c r="J41" i="35"/>
  <c r="F43" i="35"/>
  <c r="J60" i="35"/>
  <c r="F62" i="35"/>
  <c r="J79" i="35"/>
  <c r="F81" i="35"/>
  <c r="J49" i="38"/>
  <c r="I49" i="38"/>
  <c r="J35" i="33"/>
  <c r="J36" i="33"/>
  <c r="J37" i="33"/>
  <c r="J38" i="33"/>
  <c r="J39" i="33"/>
  <c r="J40" i="33"/>
  <c r="J41" i="33"/>
  <c r="J42" i="33"/>
  <c r="J43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L102" i="35"/>
  <c r="F9" i="35"/>
  <c r="F10" i="35"/>
  <c r="F11" i="35"/>
  <c r="F12" i="35"/>
  <c r="F13" i="35"/>
  <c r="F14" i="35"/>
  <c r="F15" i="35"/>
  <c r="F16" i="35"/>
  <c r="F17" i="35"/>
  <c r="F18" i="35"/>
  <c r="F19" i="35"/>
  <c r="F20" i="35"/>
  <c r="F21" i="35"/>
  <c r="F31" i="35"/>
  <c r="J35" i="35"/>
  <c r="J38" i="35"/>
  <c r="F40" i="35"/>
  <c r="J57" i="35"/>
  <c r="F59" i="35"/>
  <c r="J76" i="35"/>
  <c r="F78" i="35"/>
  <c r="P21" i="38"/>
  <c r="Q21" i="38"/>
  <c r="J25" i="38"/>
  <c r="I25" i="38"/>
  <c r="J37" i="35"/>
  <c r="F39" i="35"/>
  <c r="L39" i="35"/>
  <c r="J53" i="35"/>
  <c r="F55" i="35"/>
  <c r="L55" i="35"/>
  <c r="J59" i="35"/>
  <c r="F61" i="35"/>
  <c r="L61" i="35"/>
  <c r="I87" i="35"/>
  <c r="J75" i="35"/>
  <c r="F77" i="35"/>
  <c r="L77" i="35"/>
  <c r="J81" i="35"/>
  <c r="F83" i="35"/>
  <c r="F102" i="35"/>
  <c r="J106" i="35"/>
  <c r="L108" i="35"/>
  <c r="H18" i="37"/>
  <c r="N18" i="37"/>
  <c r="V18" i="37"/>
  <c r="AB18" i="37"/>
  <c r="V30" i="37"/>
  <c r="W30" i="37"/>
  <c r="V34" i="37"/>
  <c r="W34" i="37"/>
  <c r="V38" i="37"/>
  <c r="W38" i="37"/>
  <c r="Q11" i="38"/>
  <c r="P11" i="38"/>
  <c r="P17" i="38"/>
  <c r="Q17" i="38"/>
  <c r="J21" i="38"/>
  <c r="I21" i="38"/>
  <c r="J29" i="38"/>
  <c r="I29" i="38"/>
  <c r="Q44" i="38"/>
  <c r="P44" i="38"/>
  <c r="O137" i="43"/>
  <c r="L137" i="43"/>
  <c r="M137" i="43"/>
  <c r="N137" i="43"/>
  <c r="K137" i="43"/>
  <c r="J17" i="33"/>
  <c r="J18" i="33"/>
  <c r="J19" i="33"/>
  <c r="J20" i="33"/>
  <c r="J21" i="33"/>
  <c r="Q10" i="38"/>
  <c r="P10" i="38"/>
  <c r="P29" i="38"/>
  <c r="Q29" i="38"/>
  <c r="Q47" i="38"/>
  <c r="P47" i="38"/>
  <c r="M10" i="42"/>
  <c r="N10" i="42"/>
  <c r="L10" i="42"/>
  <c r="L17" i="33"/>
  <c r="F18" i="33"/>
  <c r="L18" i="33"/>
  <c r="F19" i="33"/>
  <c r="L19" i="33"/>
  <c r="F20" i="33"/>
  <c r="L20" i="33"/>
  <c r="F21" i="33"/>
  <c r="L21" i="33"/>
  <c r="F36" i="35"/>
  <c r="V32" i="37"/>
  <c r="W32" i="37"/>
  <c r="V36" i="37"/>
  <c r="W36" i="37"/>
  <c r="V40" i="37"/>
  <c r="W40" i="37"/>
  <c r="Q49" i="38"/>
  <c r="P49" i="38"/>
  <c r="Q8" i="38"/>
  <c r="P8" i="38"/>
  <c r="Q14" i="38"/>
  <c r="P14" i="38"/>
  <c r="J24" i="38"/>
  <c r="I24" i="38"/>
  <c r="J33" i="38"/>
  <c r="I33" i="38"/>
  <c r="Q38" i="38"/>
  <c r="P38" i="38"/>
  <c r="Q50" i="38"/>
  <c r="P50" i="38"/>
  <c r="J6" i="42"/>
  <c r="I6" i="42"/>
  <c r="H6" i="42"/>
  <c r="S11" i="45"/>
  <c r="Q11" i="45"/>
  <c r="P11" i="45"/>
  <c r="T11" i="45"/>
  <c r="R11" i="45"/>
  <c r="F31" i="33"/>
  <c r="F32" i="33"/>
  <c r="F33" i="33"/>
  <c r="V39" i="37"/>
  <c r="W39" i="37"/>
  <c r="AL39" i="37"/>
  <c r="AK39" i="37"/>
  <c r="Q6" i="38"/>
  <c r="P6" i="38"/>
  <c r="Q7" i="38"/>
  <c r="P7" i="38"/>
  <c r="P25" i="38"/>
  <c r="Q25" i="38"/>
  <c r="P33" i="38"/>
  <c r="Q33" i="38"/>
  <c r="Q41" i="38"/>
  <c r="P41" i="38"/>
  <c r="L8" i="44"/>
  <c r="N8" i="44"/>
  <c r="L124" i="41"/>
  <c r="O124" i="41"/>
  <c r="N124" i="41"/>
  <c r="M124" i="41"/>
  <c r="D129" i="41"/>
  <c r="N8" i="42"/>
  <c r="L8" i="42"/>
  <c r="M7" i="43"/>
  <c r="N7" i="43"/>
  <c r="L7" i="43"/>
  <c r="J26" i="38"/>
  <c r="I26" i="38"/>
  <c r="J30" i="38"/>
  <c r="I30" i="38"/>
  <c r="J34" i="38"/>
  <c r="I34" i="38"/>
  <c r="N135" i="43"/>
  <c r="K135" i="43"/>
  <c r="O135" i="43"/>
  <c r="M135" i="43"/>
  <c r="L135" i="43"/>
  <c r="I6" i="44"/>
  <c r="H6" i="44"/>
  <c r="J6" i="44"/>
  <c r="S10" i="45"/>
  <c r="Q10" i="45"/>
  <c r="R10" i="45"/>
  <c r="P10" i="45"/>
  <c r="T10" i="45"/>
  <c r="J23" i="38"/>
  <c r="I23" i="38"/>
  <c r="J27" i="38"/>
  <c r="I27" i="38"/>
  <c r="J31" i="38"/>
  <c r="I31" i="38"/>
  <c r="J35" i="38"/>
  <c r="I35" i="38"/>
  <c r="J39" i="38"/>
  <c r="I39" i="38"/>
  <c r="J45" i="38"/>
  <c r="I45" i="38"/>
  <c r="J51" i="38"/>
  <c r="I51" i="38"/>
  <c r="L10" i="41"/>
  <c r="K10" i="41"/>
  <c r="M10" i="41"/>
  <c r="N8" i="43"/>
  <c r="L8" i="43"/>
  <c r="I8" i="44"/>
  <c r="M8" i="44"/>
  <c r="H8" i="44"/>
  <c r="J8" i="44"/>
  <c r="M7" i="42"/>
  <c r="L7" i="42"/>
  <c r="N7" i="42"/>
  <c r="L11" i="43"/>
  <c r="M11" i="43"/>
  <c r="N11" i="43"/>
  <c r="E11" i="41"/>
  <c r="I127" i="41"/>
  <c r="F129" i="41"/>
  <c r="H127" i="41"/>
  <c r="G127" i="41"/>
  <c r="Q6" i="42"/>
  <c r="P6" i="42"/>
  <c r="T6" i="42"/>
  <c r="R6" i="42"/>
  <c r="S6" i="42"/>
  <c r="Q7" i="42"/>
  <c r="P7" i="42"/>
  <c r="T7" i="42"/>
  <c r="S7" i="42"/>
  <c r="R7" i="42"/>
  <c r="AA19" i="42"/>
  <c r="H136" i="42"/>
  <c r="I136" i="42"/>
  <c r="G136" i="42"/>
  <c r="F6" i="43"/>
  <c r="R9" i="43"/>
  <c r="T9" i="43"/>
  <c r="P9" i="43"/>
  <c r="S9" i="43"/>
  <c r="Q9" i="43"/>
  <c r="L7" i="44"/>
  <c r="M7" i="44"/>
  <c r="N7" i="44"/>
  <c r="F10" i="46"/>
  <c r="R6" i="41"/>
  <c r="Q6" i="41"/>
  <c r="P6" i="41"/>
  <c r="O6" i="41"/>
  <c r="H8" i="41"/>
  <c r="G8" i="41"/>
  <c r="I8" i="41"/>
  <c r="M11" i="42"/>
  <c r="N11" i="42"/>
  <c r="L11" i="42"/>
  <c r="G137" i="42"/>
  <c r="H137" i="42"/>
  <c r="I137" i="42"/>
  <c r="N138" i="43"/>
  <c r="K138" i="43"/>
  <c r="M138" i="43"/>
  <c r="L138" i="43"/>
  <c r="O138" i="43"/>
  <c r="M15" i="45"/>
  <c r="N15" i="45"/>
  <c r="L15" i="45"/>
  <c r="G141" i="45"/>
  <c r="H141" i="45"/>
  <c r="I141" i="45"/>
  <c r="K136" i="42"/>
  <c r="N136" i="42"/>
  <c r="M136" i="42"/>
  <c r="L136" i="42"/>
  <c r="O136" i="42"/>
  <c r="S6" i="43"/>
  <c r="P6" i="43"/>
  <c r="R6" i="43"/>
  <c r="Q6" i="43"/>
  <c r="T6" i="43"/>
  <c r="S7" i="43"/>
  <c r="P7" i="43"/>
  <c r="R7" i="43"/>
  <c r="Q7" i="43"/>
  <c r="T7" i="43"/>
  <c r="AA19" i="43" s="1"/>
  <c r="R10" i="43"/>
  <c r="P10" i="43"/>
  <c r="T10" i="43"/>
  <c r="AA20" i="43" s="1"/>
  <c r="Q10" i="43"/>
  <c r="S10" i="43"/>
  <c r="L12" i="43"/>
  <c r="M12" i="43"/>
  <c r="N12" i="43"/>
  <c r="F15" i="46"/>
  <c r="H6" i="47"/>
  <c r="J6" i="47"/>
  <c r="G16" i="47"/>
  <c r="I6" i="47"/>
  <c r="G6" i="41"/>
  <c r="H6" i="41"/>
  <c r="M7" i="41"/>
  <c r="L7" i="41"/>
  <c r="K7" i="41"/>
  <c r="L8" i="41"/>
  <c r="M8" i="41"/>
  <c r="K8" i="41"/>
  <c r="R9" i="41"/>
  <c r="S9" i="41"/>
  <c r="Q9" i="41"/>
  <c r="T9" i="41"/>
  <c r="O9" i="41"/>
  <c r="N11" i="41"/>
  <c r="P9" i="41"/>
  <c r="I125" i="41"/>
  <c r="H125" i="41"/>
  <c r="G125" i="41"/>
  <c r="R12" i="43"/>
  <c r="P12" i="43"/>
  <c r="T12" i="43"/>
  <c r="S12" i="43"/>
  <c r="Q12" i="43"/>
  <c r="I9" i="44"/>
  <c r="M9" i="44"/>
  <c r="H9" i="44"/>
  <c r="J9" i="44"/>
  <c r="N135" i="44"/>
  <c r="K135" i="44"/>
  <c r="M135" i="44"/>
  <c r="L135" i="44"/>
  <c r="O135" i="44"/>
  <c r="L12" i="44"/>
  <c r="M12" i="44"/>
  <c r="N12" i="44"/>
  <c r="F9" i="45"/>
  <c r="F7" i="46"/>
  <c r="H15" i="47"/>
  <c r="J15" i="47"/>
  <c r="I15" i="47"/>
  <c r="K6" i="41"/>
  <c r="L6" i="41"/>
  <c r="R8" i="41"/>
  <c r="O8" i="41"/>
  <c r="T8" i="41"/>
  <c r="S8" i="41"/>
  <c r="P8" i="41"/>
  <c r="Q8" i="41"/>
  <c r="C11" i="41"/>
  <c r="L9" i="41"/>
  <c r="K9" i="41"/>
  <c r="J11" i="41"/>
  <c r="M9" i="41"/>
  <c r="R10" i="41"/>
  <c r="O10" i="41"/>
  <c r="Q10" i="41"/>
  <c r="P10" i="41"/>
  <c r="T10" i="41"/>
  <c r="S10" i="41"/>
  <c r="G124" i="41"/>
  <c r="H124" i="41"/>
  <c r="E129" i="41"/>
  <c r="H128" i="41"/>
  <c r="G128" i="41"/>
  <c r="I128" i="41"/>
  <c r="F7" i="42"/>
  <c r="N9" i="42"/>
  <c r="L9" i="42"/>
  <c r="M12" i="42"/>
  <c r="N12" i="42"/>
  <c r="L12" i="42"/>
  <c r="L135" i="42"/>
  <c r="O135" i="42"/>
  <c r="M135" i="42"/>
  <c r="K135" i="42"/>
  <c r="N135" i="42"/>
  <c r="I10" i="43"/>
  <c r="J10" i="43"/>
  <c r="H10" i="43"/>
  <c r="I11" i="43"/>
  <c r="H11" i="43"/>
  <c r="J11" i="43"/>
  <c r="L11" i="44"/>
  <c r="M11" i="44"/>
  <c r="N11" i="44"/>
  <c r="O134" i="44"/>
  <c r="L134" i="44"/>
  <c r="M134" i="44"/>
  <c r="N134" i="44"/>
  <c r="K134" i="44"/>
  <c r="M9" i="45"/>
  <c r="N9" i="45"/>
  <c r="L9" i="45"/>
  <c r="E146" i="46"/>
  <c r="H144" i="47"/>
  <c r="I144" i="47"/>
  <c r="G144" i="47"/>
  <c r="D15" i="49"/>
  <c r="T7" i="41"/>
  <c r="S7" i="41"/>
  <c r="R7" i="41"/>
  <c r="Q7" i="41"/>
  <c r="P7" i="41"/>
  <c r="O7" i="41"/>
  <c r="D11" i="41"/>
  <c r="M9" i="43"/>
  <c r="J9" i="43"/>
  <c r="I9" i="43"/>
  <c r="H9" i="43"/>
  <c r="M136" i="43"/>
  <c r="L136" i="43"/>
  <c r="O136" i="43"/>
  <c r="K136" i="43"/>
  <c r="N136" i="43"/>
  <c r="F14" i="45"/>
  <c r="F15" i="45"/>
  <c r="G138" i="46"/>
  <c r="I138" i="46"/>
  <c r="H138" i="46"/>
  <c r="F6" i="45"/>
  <c r="E16" i="45"/>
  <c r="F16" i="45" s="1"/>
  <c r="F12" i="45"/>
  <c r="N143" i="45"/>
  <c r="O143" i="45"/>
  <c r="L143" i="45"/>
  <c r="M143" i="45"/>
  <c r="O139" i="45"/>
  <c r="L139" i="45"/>
  <c r="M139" i="45"/>
  <c r="N139" i="45"/>
  <c r="M139" i="46"/>
  <c r="O139" i="46"/>
  <c r="L139" i="46"/>
  <c r="N139" i="46"/>
  <c r="D9" i="50"/>
  <c r="F8" i="42"/>
  <c r="F9" i="42"/>
  <c r="F10" i="42"/>
  <c r="F11" i="42"/>
  <c r="F12" i="42"/>
  <c r="I12" i="43"/>
  <c r="H12" i="43"/>
  <c r="J12" i="43"/>
  <c r="H135" i="43"/>
  <c r="G135" i="43"/>
  <c r="I135" i="43"/>
  <c r="F11" i="44"/>
  <c r="F12" i="44"/>
  <c r="G136" i="44"/>
  <c r="I136" i="44"/>
  <c r="H136" i="44"/>
  <c r="M7" i="45"/>
  <c r="N7" i="45"/>
  <c r="L7" i="45"/>
  <c r="M13" i="45"/>
  <c r="N13" i="45"/>
  <c r="L13" i="45"/>
  <c r="D21" i="48"/>
  <c r="F11" i="41"/>
  <c r="G9" i="41"/>
  <c r="I9" i="41"/>
  <c r="H9" i="41"/>
  <c r="H10" i="41"/>
  <c r="G10" i="41"/>
  <c r="I10" i="41"/>
  <c r="P11" i="42"/>
  <c r="S11" i="42"/>
  <c r="R11" i="42"/>
  <c r="Q11" i="42"/>
  <c r="T11" i="42"/>
  <c r="P12" i="42"/>
  <c r="S12" i="42"/>
  <c r="T12" i="42"/>
  <c r="R12" i="42"/>
  <c r="Q12" i="42"/>
  <c r="O138" i="42"/>
  <c r="L138" i="42"/>
  <c r="N138" i="42"/>
  <c r="M138" i="42"/>
  <c r="K138" i="42"/>
  <c r="R11" i="43"/>
  <c r="T11" i="43"/>
  <c r="P11" i="43"/>
  <c r="Q11" i="43"/>
  <c r="S11" i="43"/>
  <c r="G136" i="43"/>
  <c r="I136" i="43"/>
  <c r="H136" i="43"/>
  <c r="H138" i="43"/>
  <c r="I138" i="43"/>
  <c r="G138" i="43"/>
  <c r="L6" i="44"/>
  <c r="M6" i="44"/>
  <c r="N6" i="44"/>
  <c r="I7" i="44"/>
  <c r="H7" i="44"/>
  <c r="J7" i="44"/>
  <c r="L9" i="44"/>
  <c r="N9" i="44"/>
  <c r="H135" i="44"/>
  <c r="I135" i="44"/>
  <c r="G135" i="44"/>
  <c r="M6" i="45"/>
  <c r="N6" i="45"/>
  <c r="L6" i="45"/>
  <c r="K16" i="45"/>
  <c r="M12" i="45"/>
  <c r="N12" i="45"/>
  <c r="L12" i="45"/>
  <c r="F12" i="46"/>
  <c r="N144" i="46"/>
  <c r="O144" i="46"/>
  <c r="L144" i="46"/>
  <c r="M144" i="46"/>
  <c r="H14" i="47"/>
  <c r="J14" i="47"/>
  <c r="I14" i="47"/>
  <c r="H141" i="47"/>
  <c r="G141" i="47"/>
  <c r="I141" i="47"/>
  <c r="L136" i="45"/>
  <c r="O136" i="45"/>
  <c r="N136" i="45"/>
  <c r="M136" i="45"/>
  <c r="J146" i="45"/>
  <c r="G138" i="45"/>
  <c r="I138" i="45"/>
  <c r="H138" i="45"/>
  <c r="M141" i="45"/>
  <c r="O141" i="45"/>
  <c r="N141" i="45"/>
  <c r="L141" i="45"/>
  <c r="G143" i="45"/>
  <c r="I143" i="45"/>
  <c r="H143" i="45"/>
  <c r="E16" i="46"/>
  <c r="F16" i="46" s="1"/>
  <c r="F6" i="46"/>
  <c r="F9" i="46"/>
  <c r="H11" i="47"/>
  <c r="J11" i="47"/>
  <c r="I11" i="47"/>
  <c r="D14" i="48"/>
  <c r="D8" i="49"/>
  <c r="D18" i="49"/>
  <c r="D12" i="50"/>
  <c r="I10" i="44"/>
  <c r="H10" i="44"/>
  <c r="J10" i="44"/>
  <c r="I11" i="44"/>
  <c r="H11" i="44"/>
  <c r="J11" i="44"/>
  <c r="I12" i="44"/>
  <c r="H12" i="44"/>
  <c r="J12" i="44"/>
  <c r="F7" i="45"/>
  <c r="F10" i="45"/>
  <c r="F13" i="45"/>
  <c r="M137" i="45"/>
  <c r="L137" i="45"/>
  <c r="N137" i="45"/>
  <c r="O137" i="45"/>
  <c r="I139" i="45"/>
  <c r="H139" i="45"/>
  <c r="G139" i="45"/>
  <c r="L142" i="45"/>
  <c r="M142" i="45"/>
  <c r="N142" i="45"/>
  <c r="O142" i="45"/>
  <c r="H144" i="45"/>
  <c r="G144" i="45"/>
  <c r="I144" i="45"/>
  <c r="F11" i="46"/>
  <c r="F14" i="46"/>
  <c r="H9" i="47"/>
  <c r="J9" i="47"/>
  <c r="I9" i="47"/>
  <c r="G145" i="47"/>
  <c r="I145" i="47"/>
  <c r="H145" i="47"/>
  <c r="D20" i="49"/>
  <c r="J11" i="42"/>
  <c r="I11" i="42"/>
  <c r="H11" i="42"/>
  <c r="J12" i="42"/>
  <c r="I12" i="42"/>
  <c r="H12" i="42"/>
  <c r="I138" i="42"/>
  <c r="H138" i="42"/>
  <c r="G138" i="42"/>
  <c r="F12" i="43"/>
  <c r="K138" i="44"/>
  <c r="N138" i="44"/>
  <c r="O138" i="44"/>
  <c r="M138" i="44"/>
  <c r="L138" i="44"/>
  <c r="D16" i="45"/>
  <c r="C146" i="45"/>
  <c r="F8" i="46"/>
  <c r="C16" i="47"/>
  <c r="H8" i="47"/>
  <c r="J8" i="47"/>
  <c r="I8" i="47"/>
  <c r="C146" i="47"/>
  <c r="G142" i="47"/>
  <c r="H142" i="47"/>
  <c r="I142" i="47"/>
  <c r="D17" i="48"/>
  <c r="D11" i="49"/>
  <c r="I135" i="42"/>
  <c r="G135" i="42"/>
  <c r="H135" i="42"/>
  <c r="M137" i="42"/>
  <c r="N137" i="42"/>
  <c r="L137" i="42"/>
  <c r="O137" i="42"/>
  <c r="K137" i="42"/>
  <c r="F11" i="43"/>
  <c r="O134" i="43"/>
  <c r="M134" i="43"/>
  <c r="K134" i="43"/>
  <c r="L134" i="43"/>
  <c r="N134" i="43"/>
  <c r="R10" i="44"/>
  <c r="AA20" i="44"/>
  <c r="Q10" i="44"/>
  <c r="P10" i="44"/>
  <c r="S10" i="44"/>
  <c r="T10" i="44"/>
  <c r="L137" i="44"/>
  <c r="O137" i="44"/>
  <c r="N137" i="44"/>
  <c r="M137" i="44"/>
  <c r="K137" i="44"/>
  <c r="H138" i="44"/>
  <c r="I138" i="44"/>
  <c r="G138" i="44"/>
  <c r="C16" i="46"/>
  <c r="F13" i="46"/>
  <c r="O136" i="46"/>
  <c r="J146" i="46"/>
  <c r="L136" i="46"/>
  <c r="M136" i="46"/>
  <c r="N136" i="46"/>
  <c r="N137" i="46"/>
  <c r="M137" i="46"/>
  <c r="O137" i="46"/>
  <c r="L137" i="46"/>
  <c r="H12" i="47"/>
  <c r="J12" i="47"/>
  <c r="I12" i="47"/>
  <c r="D17" i="49"/>
  <c r="D20" i="50"/>
  <c r="I137" i="43"/>
  <c r="H137" i="43"/>
  <c r="G137" i="43"/>
  <c r="R11" i="44"/>
  <c r="Q11" i="44"/>
  <c r="P11" i="44"/>
  <c r="T11" i="44"/>
  <c r="S11" i="44"/>
  <c r="R12" i="44"/>
  <c r="Q12" i="44"/>
  <c r="P12" i="44"/>
  <c r="T12" i="44"/>
  <c r="S12" i="44"/>
  <c r="M136" i="44"/>
  <c r="N136" i="44"/>
  <c r="K136" i="44"/>
  <c r="O136" i="44"/>
  <c r="L136" i="44"/>
  <c r="J15" i="45"/>
  <c r="I15" i="45"/>
  <c r="H15" i="45"/>
  <c r="D16" i="46"/>
  <c r="M6" i="46"/>
  <c r="K16" i="46"/>
  <c r="N6" i="46"/>
  <c r="L6" i="46"/>
  <c r="S7" i="46"/>
  <c r="R7" i="46"/>
  <c r="Q7" i="46"/>
  <c r="T7" i="46"/>
  <c r="P7" i="46"/>
  <c r="M8" i="46"/>
  <c r="N8" i="46"/>
  <c r="L8" i="46"/>
  <c r="S9" i="46"/>
  <c r="R9" i="46"/>
  <c r="T9" i="46"/>
  <c r="Q9" i="46"/>
  <c r="P9" i="46"/>
  <c r="M10" i="46"/>
  <c r="L10" i="46"/>
  <c r="N10" i="46"/>
  <c r="M11" i="46"/>
  <c r="N11" i="46"/>
  <c r="L11" i="46"/>
  <c r="M12" i="46"/>
  <c r="N12" i="46"/>
  <c r="L12" i="46"/>
  <c r="M13" i="46"/>
  <c r="L13" i="46"/>
  <c r="N13" i="46"/>
  <c r="M14" i="46"/>
  <c r="N14" i="46"/>
  <c r="L14" i="46"/>
  <c r="M15" i="46"/>
  <c r="N15" i="46"/>
  <c r="L15" i="46"/>
  <c r="D146" i="46"/>
  <c r="L140" i="46"/>
  <c r="M140" i="46"/>
  <c r="O140" i="46"/>
  <c r="N140" i="46"/>
  <c r="H7" i="47"/>
  <c r="J7" i="47"/>
  <c r="I7" i="47"/>
  <c r="H10" i="47"/>
  <c r="J10" i="47"/>
  <c r="I10" i="47"/>
  <c r="H13" i="47"/>
  <c r="J13" i="47"/>
  <c r="I13" i="47"/>
  <c r="D8" i="48"/>
  <c r="D15" i="48"/>
  <c r="D11" i="50"/>
  <c r="D18" i="50"/>
  <c r="I137" i="44"/>
  <c r="H137" i="44"/>
  <c r="G137" i="44"/>
  <c r="I137" i="45"/>
  <c r="G137" i="45"/>
  <c r="H137" i="45"/>
  <c r="S6" i="46"/>
  <c r="O16" i="46"/>
  <c r="R6" i="46"/>
  <c r="T6" i="46"/>
  <c r="Q6" i="46"/>
  <c r="P6" i="46"/>
  <c r="M7" i="46"/>
  <c r="L7" i="46"/>
  <c r="N7" i="46"/>
  <c r="S8" i="46"/>
  <c r="R8" i="46"/>
  <c r="P8" i="46"/>
  <c r="T8" i="46"/>
  <c r="Q8" i="46"/>
  <c r="M9" i="46"/>
  <c r="N9" i="46"/>
  <c r="L9" i="46"/>
  <c r="P10" i="46"/>
  <c r="S10" i="46"/>
  <c r="T10" i="46"/>
  <c r="R10" i="46"/>
  <c r="Q10" i="46"/>
  <c r="P11" i="46"/>
  <c r="S11" i="46"/>
  <c r="T11" i="46"/>
  <c r="R11" i="46"/>
  <c r="Q11" i="46"/>
  <c r="P12" i="46"/>
  <c r="S12" i="46"/>
  <c r="T12" i="46"/>
  <c r="Q12" i="46"/>
  <c r="R12" i="46"/>
  <c r="P13" i="46"/>
  <c r="S13" i="46"/>
  <c r="T13" i="46"/>
  <c r="R13" i="46"/>
  <c r="Q13" i="46"/>
  <c r="P14" i="46"/>
  <c r="S14" i="46"/>
  <c r="T14" i="46"/>
  <c r="R14" i="46"/>
  <c r="Q14" i="46"/>
  <c r="P15" i="46"/>
  <c r="S15" i="46"/>
  <c r="T15" i="46"/>
  <c r="Q15" i="46"/>
  <c r="R15" i="46"/>
  <c r="D16" i="47"/>
  <c r="D12" i="48"/>
  <c r="D9" i="49"/>
  <c r="D14" i="50"/>
  <c r="D21" i="50"/>
  <c r="G16" i="46"/>
  <c r="H6" i="46"/>
  <c r="I6" i="46"/>
  <c r="J6" i="46"/>
  <c r="H7" i="46"/>
  <c r="J7" i="46"/>
  <c r="I7" i="46"/>
  <c r="H8" i="46"/>
  <c r="J8" i="46"/>
  <c r="I8" i="46"/>
  <c r="H9" i="46"/>
  <c r="I9" i="46"/>
  <c r="J9" i="46"/>
  <c r="H10" i="46"/>
  <c r="J10" i="46"/>
  <c r="I10" i="46"/>
  <c r="J11" i="46"/>
  <c r="H11" i="46"/>
  <c r="I11" i="46"/>
  <c r="J12" i="46"/>
  <c r="I12" i="46"/>
  <c r="H12" i="46"/>
  <c r="J13" i="46"/>
  <c r="I13" i="46"/>
  <c r="H13" i="46"/>
  <c r="J14" i="46"/>
  <c r="H14" i="46"/>
  <c r="I14" i="46"/>
  <c r="J15" i="46"/>
  <c r="I15" i="46"/>
  <c r="H15" i="46"/>
  <c r="N138" i="46"/>
  <c r="M138" i="46"/>
  <c r="O138" i="46"/>
  <c r="L138" i="46"/>
  <c r="O143" i="46"/>
  <c r="M143" i="46"/>
  <c r="N143" i="46"/>
  <c r="L143" i="46"/>
  <c r="E146" i="47"/>
  <c r="D9" i="48"/>
  <c r="D18" i="48"/>
  <c r="D12" i="49"/>
  <c r="D21" i="49"/>
  <c r="D15" i="50"/>
  <c r="T6" i="47"/>
  <c r="Q6" i="47"/>
  <c r="O16" i="47"/>
  <c r="S6" i="47"/>
  <c r="R6" i="47"/>
  <c r="P6" i="47"/>
  <c r="T7" i="47"/>
  <c r="Q7" i="47"/>
  <c r="S7" i="47"/>
  <c r="P7" i="47"/>
  <c r="R7" i="47"/>
  <c r="T8" i="47"/>
  <c r="Q8" i="47"/>
  <c r="S8" i="47"/>
  <c r="P8" i="47"/>
  <c r="R8" i="47"/>
  <c r="T9" i="47"/>
  <c r="Q9" i="47"/>
  <c r="S9" i="47"/>
  <c r="R9" i="47"/>
  <c r="P9" i="47"/>
  <c r="T10" i="47"/>
  <c r="Q10" i="47"/>
  <c r="S10" i="47"/>
  <c r="R10" i="47"/>
  <c r="P10" i="47"/>
  <c r="T11" i="47"/>
  <c r="Q11" i="47"/>
  <c r="S11" i="47"/>
  <c r="P11" i="47"/>
  <c r="R11" i="47"/>
  <c r="T12" i="47"/>
  <c r="Q12" i="47"/>
  <c r="S12" i="47"/>
  <c r="R12" i="47"/>
  <c r="P12" i="47"/>
  <c r="T13" i="47"/>
  <c r="Q13" i="47"/>
  <c r="S13" i="47"/>
  <c r="R13" i="47"/>
  <c r="P13" i="47"/>
  <c r="T14" i="47"/>
  <c r="Q14" i="47"/>
  <c r="S14" i="47"/>
  <c r="P14" i="47"/>
  <c r="R14" i="47"/>
  <c r="T15" i="47"/>
  <c r="Q15" i="47"/>
  <c r="S15" i="47"/>
  <c r="R15" i="47"/>
  <c r="P15" i="47"/>
  <c r="D11" i="48"/>
  <c r="D20" i="48"/>
  <c r="D14" i="49"/>
  <c r="D8" i="50"/>
  <c r="D17" i="50"/>
  <c r="E16" i="47"/>
  <c r="F16" i="47" s="1"/>
  <c r="F6" i="47"/>
  <c r="N6" i="47"/>
  <c r="K16" i="47"/>
  <c r="L6" i="47"/>
  <c r="M6" i="47"/>
  <c r="F7" i="47"/>
  <c r="N7" i="47"/>
  <c r="M7" i="47"/>
  <c r="L7" i="47"/>
  <c r="F8" i="47"/>
  <c r="N8" i="47"/>
  <c r="L8" i="47"/>
  <c r="M8" i="47"/>
  <c r="F9" i="47"/>
  <c r="N9" i="47"/>
  <c r="L9" i="47"/>
  <c r="M9" i="47"/>
  <c r="F10" i="47"/>
  <c r="N10" i="47"/>
  <c r="M10" i="47"/>
  <c r="L10" i="47"/>
  <c r="F11" i="47"/>
  <c r="N11" i="47"/>
  <c r="M11" i="47"/>
  <c r="L11" i="47"/>
  <c r="F12" i="47"/>
  <c r="N12" i="47"/>
  <c r="L12" i="47"/>
  <c r="M12" i="47"/>
  <c r="F13" i="47"/>
  <c r="N13" i="47"/>
  <c r="M13" i="47"/>
  <c r="L13" i="47"/>
  <c r="F14" i="47"/>
  <c r="N14" i="47"/>
  <c r="L14" i="47"/>
  <c r="M14" i="47"/>
  <c r="F15" i="47"/>
  <c r="N15" i="47"/>
  <c r="L15" i="47"/>
  <c r="M15" i="47"/>
  <c r="D10" i="48"/>
  <c r="D13" i="48"/>
  <c r="D16" i="48"/>
  <c r="D19" i="48"/>
  <c r="D10" i="49"/>
  <c r="D13" i="49"/>
  <c r="D16" i="49"/>
  <c r="D19" i="49"/>
  <c r="D10" i="50"/>
  <c r="D13" i="50"/>
  <c r="D16" i="50"/>
  <c r="D19" i="50"/>
  <c r="H18" i="2"/>
  <c r="K31" i="2"/>
  <c r="J152" i="3"/>
  <c r="K6" i="5"/>
  <c r="T6" i="5"/>
  <c r="J8" i="8"/>
  <c r="N166" i="8"/>
  <c r="L187" i="8"/>
  <c r="I205" i="8"/>
  <c r="J206" i="8" s="1"/>
  <c r="J208" i="8"/>
  <c r="J217" i="8"/>
  <c r="I249" i="8"/>
  <c r="J250" i="8" s="1"/>
  <c r="L34" i="10"/>
  <c r="L5" i="12"/>
  <c r="J5" i="12"/>
  <c r="K5" i="12"/>
  <c r="I5" i="12"/>
  <c r="D160" i="13"/>
  <c r="D132" i="13"/>
  <c r="D104" i="13"/>
  <c r="D76" i="13"/>
  <c r="D48" i="13"/>
  <c r="D146" i="13"/>
  <c r="D118" i="13"/>
  <c r="D90" i="13"/>
  <c r="D62" i="13"/>
  <c r="D34" i="13"/>
  <c r="D20" i="13"/>
  <c r="X7" i="15"/>
  <c r="W7" i="15"/>
  <c r="Y7" i="15"/>
  <c r="G18" i="2"/>
  <c r="L256" i="8"/>
  <c r="L109" i="10"/>
  <c r="L108" i="10"/>
  <c r="L107" i="10"/>
  <c r="L106" i="10"/>
  <c r="L105" i="10"/>
  <c r="L104" i="10"/>
  <c r="L103" i="10"/>
  <c r="L102" i="10"/>
  <c r="L101" i="10"/>
  <c r="L100" i="10"/>
  <c r="L99" i="10"/>
  <c r="L98" i="10"/>
  <c r="L97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I29" i="10"/>
  <c r="L41" i="10"/>
  <c r="L38" i="10"/>
  <c r="L35" i="10"/>
  <c r="L32" i="10"/>
  <c r="L87" i="10"/>
  <c r="L86" i="10"/>
  <c r="L85" i="10"/>
  <c r="L84" i="10"/>
  <c r="L83" i="10"/>
  <c r="L82" i="10"/>
  <c r="L81" i="10"/>
  <c r="L80" i="10"/>
  <c r="L79" i="10"/>
  <c r="L78" i="10"/>
  <c r="L77" i="10"/>
  <c r="L76" i="10"/>
  <c r="L75" i="10"/>
  <c r="L30" i="10"/>
  <c r="L42" i="10"/>
  <c r="L39" i="10"/>
  <c r="L36" i="10"/>
  <c r="L33" i="10"/>
  <c r="O23" i="14"/>
  <c r="H17" i="2"/>
  <c r="F17" i="2"/>
  <c r="G17" i="2"/>
  <c r="K6" i="3"/>
  <c r="K152" i="3"/>
  <c r="V6" i="5"/>
  <c r="I73" i="8"/>
  <c r="J103" i="8"/>
  <c r="I117" i="8"/>
  <c r="J118" i="8" s="1"/>
  <c r="N121" i="8"/>
  <c r="L123" i="8"/>
  <c r="N130" i="8"/>
  <c r="J148" i="8"/>
  <c r="N229" i="8"/>
  <c r="N238" i="8"/>
  <c r="L259" i="8"/>
  <c r="D133" i="15"/>
  <c r="D147" i="15"/>
  <c r="D161" i="15"/>
  <c r="D105" i="15"/>
  <c r="D77" i="15"/>
  <c r="D119" i="15"/>
  <c r="D35" i="15"/>
  <c r="D63" i="15"/>
  <c r="D21" i="15"/>
  <c r="D49" i="15"/>
  <c r="D91" i="15"/>
  <c r="J7" i="15"/>
  <c r="G132" i="18"/>
  <c r="G78" i="18"/>
  <c r="G48" i="18"/>
  <c r="G146" i="18"/>
  <c r="G92" i="18"/>
  <c r="G62" i="18"/>
  <c r="G8" i="18"/>
  <c r="G120" i="18"/>
  <c r="G90" i="18"/>
  <c r="G36" i="18"/>
  <c r="G134" i="18"/>
  <c r="G104" i="18"/>
  <c r="G50" i="18"/>
  <c r="G106" i="18"/>
  <c r="G76" i="18"/>
  <c r="G148" i="18"/>
  <c r="G118" i="18"/>
  <c r="G160" i="18"/>
  <c r="G20" i="18"/>
  <c r="G64" i="18"/>
  <c r="G34" i="18"/>
  <c r="G22" i="18"/>
  <c r="L152" i="3"/>
  <c r="J263" i="8"/>
  <c r="J262" i="8"/>
  <c r="J261" i="8"/>
  <c r="J260" i="8"/>
  <c r="J259" i="8"/>
  <c r="J258" i="8"/>
  <c r="J257" i="8"/>
  <c r="J256" i="8"/>
  <c r="J255" i="8"/>
  <c r="J254" i="8"/>
  <c r="J253" i="8"/>
  <c r="J252" i="8"/>
  <c r="J251" i="8"/>
  <c r="J197" i="8"/>
  <c r="J196" i="8"/>
  <c r="J195" i="8"/>
  <c r="J194" i="8"/>
  <c r="J193" i="8"/>
  <c r="J192" i="8"/>
  <c r="J191" i="8"/>
  <c r="J190" i="8"/>
  <c r="J189" i="8"/>
  <c r="J188" i="8"/>
  <c r="J187" i="8"/>
  <c r="J186" i="8"/>
  <c r="J185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241" i="8"/>
  <c r="J240" i="8"/>
  <c r="J239" i="8"/>
  <c r="J238" i="8"/>
  <c r="J237" i="8"/>
  <c r="J236" i="8"/>
  <c r="J235" i="8"/>
  <c r="J234" i="8"/>
  <c r="J233" i="8"/>
  <c r="J232" i="8"/>
  <c r="J231" i="8"/>
  <c r="J230" i="8"/>
  <c r="J229" i="8"/>
  <c r="J175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I227" i="8"/>
  <c r="J228" i="8" s="1"/>
  <c r="I161" i="8"/>
  <c r="J162" i="8" s="1"/>
  <c r="I51" i="8"/>
  <c r="J285" i="8"/>
  <c r="J282" i="8"/>
  <c r="J279" i="8"/>
  <c r="J276" i="8"/>
  <c r="J273" i="8"/>
  <c r="J219" i="8"/>
  <c r="J216" i="8"/>
  <c r="J213" i="8"/>
  <c r="J210" i="8"/>
  <c r="J207" i="8"/>
  <c r="J153" i="8"/>
  <c r="J150" i="8"/>
  <c r="J147" i="8"/>
  <c r="J144" i="8"/>
  <c r="J107" i="8"/>
  <c r="J104" i="8"/>
  <c r="J101" i="8"/>
  <c r="J100" i="8"/>
  <c r="J99" i="8"/>
  <c r="J98" i="8"/>
  <c r="J97" i="8"/>
  <c r="I29" i="8"/>
  <c r="J30" i="8" s="1"/>
  <c r="J284" i="8"/>
  <c r="J281" i="8"/>
  <c r="J278" i="8"/>
  <c r="J275" i="8"/>
  <c r="J218" i="8"/>
  <c r="J215" i="8"/>
  <c r="J212" i="8"/>
  <c r="J209" i="8"/>
  <c r="J152" i="8"/>
  <c r="J149" i="8"/>
  <c r="J146" i="8"/>
  <c r="J143" i="8"/>
  <c r="J141" i="8"/>
  <c r="I139" i="8"/>
  <c r="J140" i="8" s="1"/>
  <c r="J108" i="8"/>
  <c r="J105" i="8"/>
  <c r="J102" i="8"/>
  <c r="G7" i="8"/>
  <c r="I95" i="8"/>
  <c r="J96" i="8" s="1"/>
  <c r="J211" i="8"/>
  <c r="T9" i="14"/>
  <c r="F149" i="17"/>
  <c r="F147" i="17"/>
  <c r="F121" i="17"/>
  <c r="F119" i="17"/>
  <c r="F93" i="17"/>
  <c r="F91" i="17"/>
  <c r="F65" i="17"/>
  <c r="F63" i="17"/>
  <c r="F37" i="17"/>
  <c r="F35" i="17"/>
  <c r="F21" i="17"/>
  <c r="F9" i="17"/>
  <c r="F161" i="17"/>
  <c r="F135" i="17"/>
  <c r="F105" i="17"/>
  <c r="F79" i="17"/>
  <c r="F49" i="17"/>
  <c r="F23" i="17"/>
  <c r="F107" i="17"/>
  <c r="F77" i="17"/>
  <c r="F133" i="17"/>
  <c r="Q6" i="6"/>
  <c r="S6" i="6"/>
  <c r="J109" i="8"/>
  <c r="L120" i="8"/>
  <c r="N127" i="8"/>
  <c r="L129" i="8"/>
  <c r="J142" i="8"/>
  <c r="J151" i="8"/>
  <c r="I183" i="8"/>
  <c r="J184" i="8" s="1"/>
  <c r="N232" i="8"/>
  <c r="L253" i="8"/>
  <c r="L262" i="8"/>
  <c r="I271" i="8"/>
  <c r="J272" i="8" s="1"/>
  <c r="J274" i="8"/>
  <c r="J283" i="8"/>
  <c r="N64" i="10"/>
  <c r="N63" i="10"/>
  <c r="N62" i="10"/>
  <c r="N61" i="10"/>
  <c r="N60" i="10"/>
  <c r="N59" i="10"/>
  <c r="N58" i="10"/>
  <c r="N57" i="10"/>
  <c r="N56" i="10"/>
  <c r="N55" i="10"/>
  <c r="N54" i="10"/>
  <c r="K51" i="10"/>
  <c r="N52" i="10"/>
  <c r="J96" i="10"/>
  <c r="G95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E56" i="12"/>
  <c r="E53" i="12"/>
  <c r="E57" i="12" s="1"/>
  <c r="E55" i="12"/>
  <c r="E54" i="12"/>
  <c r="S21" i="15"/>
  <c r="K7" i="16"/>
  <c r="J7" i="16"/>
  <c r="I7" i="16"/>
  <c r="N169" i="8"/>
  <c r="L37" i="10"/>
  <c r="P20" i="13"/>
  <c r="F51" i="17"/>
  <c r="L79" i="3"/>
  <c r="K79" i="3"/>
  <c r="F18" i="2"/>
  <c r="L56" i="2"/>
  <c r="K56" i="2"/>
  <c r="J79" i="3"/>
  <c r="J6" i="5"/>
  <c r="M6" i="5"/>
  <c r="L6" i="5"/>
  <c r="R6" i="6"/>
  <c r="N240" i="8"/>
  <c r="L87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N163" i="8"/>
  <c r="L193" i="8"/>
  <c r="J214" i="8"/>
  <c r="L31" i="10"/>
  <c r="L40" i="10"/>
  <c r="N86" i="10"/>
  <c r="N85" i="10"/>
  <c r="N84" i="10"/>
  <c r="N83" i="10"/>
  <c r="N82" i="10"/>
  <c r="N81" i="10"/>
  <c r="N80" i="10"/>
  <c r="N79" i="10"/>
  <c r="N78" i="10"/>
  <c r="N77" i="10"/>
  <c r="N76" i="10"/>
  <c r="K73" i="10"/>
  <c r="Q20" i="13"/>
  <c r="G105" i="15"/>
  <c r="G119" i="15"/>
  <c r="G63" i="15"/>
  <c r="G21" i="15"/>
  <c r="G133" i="15"/>
  <c r="G161" i="15"/>
  <c r="G91" i="15"/>
  <c r="G77" i="15"/>
  <c r="G35" i="15"/>
  <c r="G147" i="15"/>
  <c r="G49" i="15"/>
  <c r="M51" i="8"/>
  <c r="K73" i="8"/>
  <c r="N101" i="8"/>
  <c r="N104" i="8"/>
  <c r="N107" i="8"/>
  <c r="N119" i="8"/>
  <c r="L121" i="8"/>
  <c r="N122" i="8"/>
  <c r="L124" i="8"/>
  <c r="N125" i="8"/>
  <c r="L127" i="8"/>
  <c r="N128" i="8"/>
  <c r="L130" i="8"/>
  <c r="M161" i="8"/>
  <c r="N162" i="8" s="1"/>
  <c r="M183" i="8"/>
  <c r="N184" i="8" s="1"/>
  <c r="L186" i="8"/>
  <c r="L189" i="8"/>
  <c r="L192" i="8"/>
  <c r="L195" i="8"/>
  <c r="M205" i="8"/>
  <c r="N206" i="8" s="1"/>
  <c r="M227" i="8"/>
  <c r="N228" i="8" s="1"/>
  <c r="M249" i="8"/>
  <c r="N250" i="8" s="1"/>
  <c r="L252" i="8"/>
  <c r="L255" i="8"/>
  <c r="L258" i="8"/>
  <c r="L261" i="8"/>
  <c r="M271" i="8"/>
  <c r="N272" i="8" s="1"/>
  <c r="O20" i="13"/>
  <c r="C34" i="13"/>
  <c r="F48" i="13"/>
  <c r="C90" i="13"/>
  <c r="F104" i="13"/>
  <c r="C149" i="14"/>
  <c r="C107" i="14"/>
  <c r="C65" i="14"/>
  <c r="C135" i="14"/>
  <c r="C93" i="14"/>
  <c r="C51" i="14"/>
  <c r="C23" i="14"/>
  <c r="J31" i="2"/>
  <c r="J6" i="3"/>
  <c r="S6" i="5"/>
  <c r="M73" i="8"/>
  <c r="N97" i="8"/>
  <c r="N98" i="8"/>
  <c r="N99" i="8"/>
  <c r="N100" i="8"/>
  <c r="N164" i="8"/>
  <c r="N167" i="8"/>
  <c r="N170" i="8"/>
  <c r="N173" i="8"/>
  <c r="N230" i="8"/>
  <c r="N233" i="8"/>
  <c r="N236" i="8"/>
  <c r="N239" i="8"/>
  <c r="F146" i="13"/>
  <c r="F118" i="13"/>
  <c r="F90" i="13"/>
  <c r="F62" i="13"/>
  <c r="F34" i="13"/>
  <c r="F20" i="13"/>
  <c r="F160" i="13"/>
  <c r="F132" i="13"/>
  <c r="Q23" i="14"/>
  <c r="C79" i="14"/>
  <c r="K271" i="8"/>
  <c r="L272" i="8" s="1"/>
  <c r="L241" i="8"/>
  <c r="L240" i="8"/>
  <c r="L239" i="8"/>
  <c r="L238" i="8"/>
  <c r="L237" i="8"/>
  <c r="L236" i="8"/>
  <c r="L235" i="8"/>
  <c r="L234" i="8"/>
  <c r="L233" i="8"/>
  <c r="L232" i="8"/>
  <c r="L231" i="8"/>
  <c r="L230" i="8"/>
  <c r="L229" i="8"/>
  <c r="K205" i="8"/>
  <c r="L206" i="8" s="1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K139" i="8"/>
  <c r="L140" i="8" s="1"/>
  <c r="L109" i="8"/>
  <c r="L108" i="8"/>
  <c r="L107" i="8"/>
  <c r="L106" i="8"/>
  <c r="L105" i="8"/>
  <c r="L104" i="8"/>
  <c r="L103" i="8"/>
  <c r="L102" i="8"/>
  <c r="L101" i="8"/>
  <c r="L285" i="8"/>
  <c r="L284" i="8"/>
  <c r="L283" i="8"/>
  <c r="L282" i="8"/>
  <c r="L281" i="8"/>
  <c r="L280" i="8"/>
  <c r="L279" i="8"/>
  <c r="L278" i="8"/>
  <c r="L277" i="8"/>
  <c r="L276" i="8"/>
  <c r="L275" i="8"/>
  <c r="L274" i="8"/>
  <c r="L273" i="8"/>
  <c r="K249" i="8"/>
  <c r="L250" i="8" s="1"/>
  <c r="L219" i="8"/>
  <c r="L218" i="8"/>
  <c r="L217" i="8"/>
  <c r="L216" i="8"/>
  <c r="L215" i="8"/>
  <c r="L214" i="8"/>
  <c r="L213" i="8"/>
  <c r="L212" i="8"/>
  <c r="L211" i="8"/>
  <c r="L210" i="8"/>
  <c r="L209" i="8"/>
  <c r="L208" i="8"/>
  <c r="L207" i="8"/>
  <c r="K183" i="8"/>
  <c r="L184" i="8" s="1"/>
  <c r="L153" i="8"/>
  <c r="L152" i="8"/>
  <c r="L151" i="8"/>
  <c r="L150" i="8"/>
  <c r="L149" i="8"/>
  <c r="L148" i="8"/>
  <c r="L147" i="8"/>
  <c r="L146" i="8"/>
  <c r="L145" i="8"/>
  <c r="L144" i="8"/>
  <c r="L143" i="8"/>
  <c r="L142" i="8"/>
  <c r="L8" i="8"/>
  <c r="K117" i="8"/>
  <c r="L118" i="8" s="1"/>
  <c r="L141" i="8"/>
  <c r="N165" i="8"/>
  <c r="N168" i="8"/>
  <c r="N171" i="8"/>
  <c r="N174" i="8"/>
  <c r="N231" i="8"/>
  <c r="N234" i="8"/>
  <c r="N237" i="8"/>
  <c r="N20" i="10"/>
  <c r="N19" i="10"/>
  <c r="N18" i="10"/>
  <c r="N17" i="10"/>
  <c r="N16" i="10"/>
  <c r="N15" i="10"/>
  <c r="N14" i="10"/>
  <c r="N13" i="10"/>
  <c r="N12" i="10"/>
  <c r="N11" i="10"/>
  <c r="N10" i="10"/>
  <c r="N9" i="10"/>
  <c r="K7" i="10"/>
  <c r="N96" i="10"/>
  <c r="C54" i="12"/>
  <c r="C57" i="12" s="1"/>
  <c r="S5" i="12"/>
  <c r="C55" i="12"/>
  <c r="C20" i="13"/>
  <c r="R20" i="13"/>
  <c r="C62" i="13"/>
  <c r="F76" i="13"/>
  <c r="C118" i="13"/>
  <c r="C121" i="14"/>
  <c r="R9" i="16"/>
  <c r="R21" i="16"/>
  <c r="N284" i="8"/>
  <c r="N283" i="8"/>
  <c r="N282" i="8"/>
  <c r="N281" i="8"/>
  <c r="N280" i="8"/>
  <c r="N279" i="8"/>
  <c r="N278" i="8"/>
  <c r="N277" i="8"/>
  <c r="N276" i="8"/>
  <c r="N275" i="8"/>
  <c r="N274" i="8"/>
  <c r="N273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262" i="8"/>
  <c r="N261" i="8"/>
  <c r="N260" i="8"/>
  <c r="N259" i="8"/>
  <c r="N258" i="8"/>
  <c r="N257" i="8"/>
  <c r="N256" i="8"/>
  <c r="N255" i="8"/>
  <c r="N254" i="8"/>
  <c r="N253" i="8"/>
  <c r="N252" i="8"/>
  <c r="N251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8" i="8"/>
  <c r="K29" i="8"/>
  <c r="L30" i="8" s="1"/>
  <c r="N102" i="8"/>
  <c r="N105" i="8"/>
  <c r="N108" i="8"/>
  <c r="M117" i="8"/>
  <c r="N118" i="8" s="1"/>
  <c r="L119" i="8"/>
  <c r="N120" i="8"/>
  <c r="L122" i="8"/>
  <c r="N123" i="8"/>
  <c r="L125" i="8"/>
  <c r="N126" i="8"/>
  <c r="L128" i="8"/>
  <c r="N129" i="8"/>
  <c r="L131" i="8"/>
  <c r="L185" i="8"/>
  <c r="L188" i="8"/>
  <c r="L191" i="8"/>
  <c r="L194" i="8"/>
  <c r="L197" i="8"/>
  <c r="L251" i="8"/>
  <c r="L254" i="8"/>
  <c r="L257" i="8"/>
  <c r="L260" i="8"/>
  <c r="L263" i="8"/>
  <c r="C160" i="13"/>
  <c r="C132" i="13"/>
  <c r="C104" i="13"/>
  <c r="C76" i="13"/>
  <c r="C48" i="13"/>
  <c r="C146" i="13"/>
  <c r="S20" i="13"/>
  <c r="O21" i="16"/>
  <c r="O9" i="16"/>
  <c r="Q21" i="16"/>
  <c r="I6" i="18"/>
  <c r="J6" i="18"/>
  <c r="V5" i="12"/>
  <c r="F54" i="12"/>
  <c r="F57" i="12" s="1"/>
  <c r="D55" i="12"/>
  <c r="U8" i="12"/>
  <c r="G48" i="13"/>
  <c r="G76" i="13"/>
  <c r="G104" i="13"/>
  <c r="G132" i="13"/>
  <c r="G160" i="13"/>
  <c r="C133" i="15"/>
  <c r="C147" i="15"/>
  <c r="I7" i="15"/>
  <c r="C49" i="15"/>
  <c r="E133" i="15"/>
  <c r="F147" i="15"/>
  <c r="C135" i="16"/>
  <c r="Q9" i="17"/>
  <c r="N78" i="18"/>
  <c r="N7" i="19"/>
  <c r="R7" i="19"/>
  <c r="P7" i="19"/>
  <c r="N30" i="10"/>
  <c r="D53" i="12"/>
  <c r="D57" i="12" s="1"/>
  <c r="U6" i="12"/>
  <c r="E147" i="15"/>
  <c r="E161" i="15"/>
  <c r="E77" i="15"/>
  <c r="E91" i="15"/>
  <c r="K7" i="15"/>
  <c r="F21" i="15"/>
  <c r="U21" i="15"/>
  <c r="E49" i="15"/>
  <c r="F63" i="15"/>
  <c r="C77" i="15"/>
  <c r="C105" i="15"/>
  <c r="C149" i="16"/>
  <c r="C147" i="16"/>
  <c r="C121" i="16"/>
  <c r="C119" i="16"/>
  <c r="C93" i="16"/>
  <c r="C91" i="16"/>
  <c r="C65" i="16"/>
  <c r="C63" i="16"/>
  <c r="C37" i="16"/>
  <c r="C35" i="16"/>
  <c r="C133" i="16"/>
  <c r="C107" i="16"/>
  <c r="C77" i="16"/>
  <c r="C51" i="16"/>
  <c r="V7" i="16"/>
  <c r="S21" i="16"/>
  <c r="S9" i="16"/>
  <c r="Q9" i="16"/>
  <c r="G90" i="13"/>
  <c r="G118" i="13"/>
  <c r="G146" i="13"/>
  <c r="P23" i="14"/>
  <c r="F161" i="15"/>
  <c r="F91" i="15"/>
  <c r="F105" i="15"/>
  <c r="L7" i="15"/>
  <c r="F49" i="15"/>
  <c r="C91" i="15"/>
  <c r="E119" i="15"/>
  <c r="D149" i="16"/>
  <c r="D147" i="16"/>
  <c r="D121" i="16"/>
  <c r="D119" i="16"/>
  <c r="D93" i="16"/>
  <c r="D91" i="16"/>
  <c r="D65" i="16"/>
  <c r="D63" i="16"/>
  <c r="D37" i="16"/>
  <c r="D35" i="16"/>
  <c r="D161" i="16"/>
  <c r="D135" i="16"/>
  <c r="D133" i="16"/>
  <c r="D107" i="16"/>
  <c r="D105" i="16"/>
  <c r="D79" i="16"/>
  <c r="D77" i="16"/>
  <c r="D51" i="16"/>
  <c r="D49" i="16"/>
  <c r="D23" i="16"/>
  <c r="D21" i="16"/>
  <c r="D9" i="16"/>
  <c r="C105" i="16"/>
  <c r="R9" i="17"/>
  <c r="Q21" i="17"/>
  <c r="N146" i="18"/>
  <c r="N92" i="18"/>
  <c r="N62" i="18"/>
  <c r="N8" i="18"/>
  <c r="N160" i="18"/>
  <c r="N106" i="18"/>
  <c r="N76" i="18"/>
  <c r="N22" i="18"/>
  <c r="N134" i="18"/>
  <c r="N104" i="18"/>
  <c r="N50" i="18"/>
  <c r="N20" i="18"/>
  <c r="N148" i="18"/>
  <c r="N118" i="18"/>
  <c r="N64" i="18"/>
  <c r="N34" i="18"/>
  <c r="N120" i="18"/>
  <c r="N90" i="18"/>
  <c r="N132" i="18"/>
  <c r="V120" i="18"/>
  <c r="V90" i="18"/>
  <c r="V36" i="18"/>
  <c r="V134" i="18"/>
  <c r="V104" i="18"/>
  <c r="V50" i="18"/>
  <c r="V20" i="18"/>
  <c r="V132" i="18"/>
  <c r="V78" i="18"/>
  <c r="V48" i="18"/>
  <c r="V146" i="18"/>
  <c r="V92" i="18"/>
  <c r="V62" i="18"/>
  <c r="V64" i="18"/>
  <c r="V34" i="18"/>
  <c r="V106" i="18"/>
  <c r="V76" i="18"/>
  <c r="V148" i="18"/>
  <c r="V118" i="18"/>
  <c r="V160" i="18"/>
  <c r="N36" i="18"/>
  <c r="R6" i="18"/>
  <c r="Q6" i="18"/>
  <c r="T48" i="18"/>
  <c r="M64" i="18"/>
  <c r="T78" i="18"/>
  <c r="S118" i="18"/>
  <c r="I8" i="21"/>
  <c r="H8" i="21"/>
  <c r="E23" i="16"/>
  <c r="E49" i="16"/>
  <c r="E79" i="16"/>
  <c r="E105" i="16"/>
  <c r="E135" i="16"/>
  <c r="E161" i="16"/>
  <c r="C161" i="17"/>
  <c r="C135" i="17"/>
  <c r="C133" i="17"/>
  <c r="C107" i="17"/>
  <c r="C105" i="17"/>
  <c r="C79" i="17"/>
  <c r="C77" i="17"/>
  <c r="C51" i="17"/>
  <c r="C49" i="17"/>
  <c r="C23" i="17"/>
  <c r="S21" i="17"/>
  <c r="S9" i="17"/>
  <c r="D120" i="18"/>
  <c r="D90" i="18"/>
  <c r="D36" i="18"/>
  <c r="D134" i="18"/>
  <c r="D104" i="18"/>
  <c r="D50" i="18"/>
  <c r="D20" i="18"/>
  <c r="D132" i="18"/>
  <c r="D78" i="18"/>
  <c r="D48" i="18"/>
  <c r="D146" i="18"/>
  <c r="D92" i="18"/>
  <c r="D62" i="18"/>
  <c r="S132" i="18"/>
  <c r="S78" i="18"/>
  <c r="S48" i="18"/>
  <c r="S146" i="18"/>
  <c r="S92" i="18"/>
  <c r="S62" i="18"/>
  <c r="S8" i="18"/>
  <c r="S120" i="18"/>
  <c r="S90" i="18"/>
  <c r="S36" i="18"/>
  <c r="S134" i="18"/>
  <c r="S104" i="18"/>
  <c r="S50" i="18"/>
  <c r="D8" i="18"/>
  <c r="S20" i="18"/>
  <c r="M22" i="18"/>
  <c r="T36" i="18"/>
  <c r="S76" i="18"/>
  <c r="S106" i="18"/>
  <c r="D118" i="18"/>
  <c r="D148" i="18"/>
  <c r="F161" i="16"/>
  <c r="F135" i="16"/>
  <c r="F133" i="16"/>
  <c r="F107" i="16"/>
  <c r="F105" i="16"/>
  <c r="F79" i="16"/>
  <c r="F77" i="16"/>
  <c r="F51" i="16"/>
  <c r="F49" i="16"/>
  <c r="F23" i="16"/>
  <c r="U7" i="16"/>
  <c r="E9" i="16"/>
  <c r="E21" i="16"/>
  <c r="E35" i="16"/>
  <c r="E65" i="16"/>
  <c r="E91" i="16"/>
  <c r="E121" i="16"/>
  <c r="E147" i="16"/>
  <c r="D161" i="17"/>
  <c r="D135" i="17"/>
  <c r="D133" i="17"/>
  <c r="D107" i="17"/>
  <c r="D105" i="17"/>
  <c r="D79" i="17"/>
  <c r="D77" i="17"/>
  <c r="D51" i="17"/>
  <c r="D49" i="17"/>
  <c r="D23" i="17"/>
  <c r="D149" i="17"/>
  <c r="D147" i="17"/>
  <c r="D121" i="17"/>
  <c r="D119" i="17"/>
  <c r="D93" i="17"/>
  <c r="D91" i="17"/>
  <c r="D65" i="17"/>
  <c r="D63" i="17"/>
  <c r="D37" i="17"/>
  <c r="D35" i="17"/>
  <c r="D21" i="17"/>
  <c r="D9" i="17"/>
  <c r="C9" i="17"/>
  <c r="C35" i="17"/>
  <c r="C65" i="17"/>
  <c r="C91" i="17"/>
  <c r="C121" i="17"/>
  <c r="C147" i="17"/>
  <c r="T146" i="18"/>
  <c r="T92" i="18"/>
  <c r="T62" i="18"/>
  <c r="T8" i="18"/>
  <c r="T160" i="18"/>
  <c r="T106" i="18"/>
  <c r="T76" i="18"/>
  <c r="T22" i="18"/>
  <c r="T134" i="18"/>
  <c r="T104" i="18"/>
  <c r="T50" i="18"/>
  <c r="T20" i="18"/>
  <c r="T148" i="18"/>
  <c r="T118" i="18"/>
  <c r="T64" i="18"/>
  <c r="T34" i="18"/>
  <c r="S34" i="18"/>
  <c r="S64" i="18"/>
  <c r="D76" i="18"/>
  <c r="D106" i="18"/>
  <c r="E7" i="19"/>
  <c r="F135" i="19"/>
  <c r="F133" i="19"/>
  <c r="F121" i="19"/>
  <c r="F119" i="19"/>
  <c r="F107" i="19"/>
  <c r="F105" i="19"/>
  <c r="F93" i="19"/>
  <c r="F91" i="19"/>
  <c r="F79" i="19"/>
  <c r="F77" i="19"/>
  <c r="F65" i="19"/>
  <c r="F63" i="19"/>
  <c r="F51" i="19"/>
  <c r="F49" i="19"/>
  <c r="F37" i="19"/>
  <c r="F147" i="19"/>
  <c r="F161" i="19"/>
  <c r="F149" i="19"/>
  <c r="F35" i="19"/>
  <c r="F23" i="19"/>
  <c r="G161" i="16"/>
  <c r="G135" i="16"/>
  <c r="G133" i="16"/>
  <c r="G107" i="16"/>
  <c r="G105" i="16"/>
  <c r="G79" i="16"/>
  <c r="G77" i="16"/>
  <c r="G51" i="16"/>
  <c r="G49" i="16"/>
  <c r="G23" i="16"/>
  <c r="G149" i="16"/>
  <c r="G147" i="16"/>
  <c r="G121" i="16"/>
  <c r="G119" i="16"/>
  <c r="G93" i="16"/>
  <c r="G91" i="16"/>
  <c r="G65" i="16"/>
  <c r="G63" i="16"/>
  <c r="G37" i="16"/>
  <c r="G35" i="16"/>
  <c r="F91" i="16"/>
  <c r="F121" i="16"/>
  <c r="F147" i="16"/>
  <c r="O21" i="17"/>
  <c r="O9" i="17"/>
  <c r="U7" i="17"/>
  <c r="M132" i="18"/>
  <c r="M78" i="18"/>
  <c r="M48" i="18"/>
  <c r="M146" i="18"/>
  <c r="M92" i="18"/>
  <c r="M62" i="18"/>
  <c r="M8" i="18"/>
  <c r="M120" i="18"/>
  <c r="M90" i="18"/>
  <c r="M36" i="18"/>
  <c r="M134" i="18"/>
  <c r="M104" i="18"/>
  <c r="M50" i="18"/>
  <c r="S22" i="18"/>
  <c r="D34" i="18"/>
  <c r="D64" i="18"/>
  <c r="M160" i="18"/>
  <c r="F21" i="19"/>
  <c r="E106" i="18"/>
  <c r="K106" i="18"/>
  <c r="F120" i="18"/>
  <c r="L120" i="18"/>
  <c r="C132" i="18"/>
  <c r="O132" i="18"/>
  <c r="U132" i="18"/>
  <c r="E160" i="18"/>
  <c r="K160" i="18"/>
  <c r="H7" i="19"/>
  <c r="L22" i="21"/>
  <c r="G23" i="17"/>
  <c r="G49" i="17"/>
  <c r="G51" i="17"/>
  <c r="G77" i="17"/>
  <c r="G79" i="17"/>
  <c r="G105" i="17"/>
  <c r="G107" i="17"/>
  <c r="G133" i="17"/>
  <c r="G135" i="17"/>
  <c r="G161" i="17"/>
  <c r="E8" i="18"/>
  <c r="K8" i="18"/>
  <c r="F22" i="18"/>
  <c r="L22" i="18"/>
  <c r="C34" i="18"/>
  <c r="O34" i="18"/>
  <c r="U34" i="18"/>
  <c r="E62" i="18"/>
  <c r="K62" i="18"/>
  <c r="C64" i="18"/>
  <c r="O64" i="18"/>
  <c r="U64" i="18"/>
  <c r="F76" i="18"/>
  <c r="L76" i="18"/>
  <c r="E92" i="18"/>
  <c r="K92" i="18"/>
  <c r="F106" i="18"/>
  <c r="L106" i="18"/>
  <c r="C118" i="18"/>
  <c r="O118" i="18"/>
  <c r="U118" i="18"/>
  <c r="E146" i="18"/>
  <c r="K146" i="18"/>
  <c r="C148" i="18"/>
  <c r="O148" i="18"/>
  <c r="U148" i="18"/>
  <c r="F160" i="18"/>
  <c r="L160" i="18"/>
  <c r="F49" i="22"/>
  <c r="V7" i="17"/>
  <c r="E34" i="18"/>
  <c r="K34" i="18"/>
  <c r="C36" i="18"/>
  <c r="O36" i="18"/>
  <c r="U36" i="18"/>
  <c r="F48" i="18"/>
  <c r="L48" i="18"/>
  <c r="E64" i="18"/>
  <c r="K64" i="18"/>
  <c r="F78" i="18"/>
  <c r="L78" i="18"/>
  <c r="C90" i="18"/>
  <c r="O90" i="18"/>
  <c r="U90" i="18"/>
  <c r="E118" i="18"/>
  <c r="K118" i="18"/>
  <c r="C120" i="18"/>
  <c r="O120" i="18"/>
  <c r="U120" i="18"/>
  <c r="F132" i="18"/>
  <c r="L132" i="18"/>
  <c r="E148" i="18"/>
  <c r="K148" i="18"/>
  <c r="Z160" i="19"/>
  <c r="Z157" i="19"/>
  <c r="Z154" i="19"/>
  <c r="Z151" i="19"/>
  <c r="Z144" i="19"/>
  <c r="Z141" i="19"/>
  <c r="Z138" i="19"/>
  <c r="Z7" i="19"/>
  <c r="T7" i="19"/>
  <c r="Z142" i="19"/>
  <c r="Z145" i="19"/>
  <c r="Z152" i="19"/>
  <c r="Z155" i="19"/>
  <c r="Z158" i="19"/>
  <c r="O22" i="21"/>
  <c r="F78" i="21"/>
  <c r="F161" i="22"/>
  <c r="F119" i="22"/>
  <c r="F147" i="22"/>
  <c r="F133" i="22"/>
  <c r="F21" i="22"/>
  <c r="F105" i="22"/>
  <c r="F91" i="22"/>
  <c r="F77" i="22"/>
  <c r="F63" i="22"/>
  <c r="S20" i="23"/>
  <c r="Q20" i="23"/>
  <c r="O20" i="23"/>
  <c r="G9" i="17"/>
  <c r="P9" i="17"/>
  <c r="G21" i="17"/>
  <c r="P21" i="17"/>
  <c r="G35" i="17"/>
  <c r="G37" i="17"/>
  <c r="G63" i="17"/>
  <c r="G65" i="17"/>
  <c r="G91" i="17"/>
  <c r="G93" i="17"/>
  <c r="G119" i="17"/>
  <c r="G121" i="17"/>
  <c r="G147" i="17"/>
  <c r="G149" i="17"/>
  <c r="X6" i="18"/>
  <c r="E20" i="18"/>
  <c r="K20" i="18"/>
  <c r="C22" i="18"/>
  <c r="O22" i="18"/>
  <c r="U22" i="18"/>
  <c r="F34" i="18"/>
  <c r="L34" i="18"/>
  <c r="E50" i="18"/>
  <c r="K50" i="18"/>
  <c r="F64" i="18"/>
  <c r="L64" i="18"/>
  <c r="C76" i="18"/>
  <c r="O76" i="18"/>
  <c r="U76" i="18"/>
  <c r="E104" i="18"/>
  <c r="K104" i="18"/>
  <c r="C106" i="18"/>
  <c r="O106" i="18"/>
  <c r="U106" i="18"/>
  <c r="F118" i="18"/>
  <c r="L118" i="18"/>
  <c r="E134" i="18"/>
  <c r="K134" i="18"/>
  <c r="F148" i="18"/>
  <c r="L148" i="18"/>
  <c r="C160" i="18"/>
  <c r="O160" i="18"/>
  <c r="U160" i="18"/>
  <c r="V161" i="19"/>
  <c r="V149" i="19"/>
  <c r="V147" i="19"/>
  <c r="Z11" i="19"/>
  <c r="Z14" i="19"/>
  <c r="Z17" i="19"/>
  <c r="Z20" i="19"/>
  <c r="Z30" i="19"/>
  <c r="Z31" i="19"/>
  <c r="Z32" i="19"/>
  <c r="Z33" i="19"/>
  <c r="Z34" i="19"/>
  <c r="Z39" i="19"/>
  <c r="Z40" i="19"/>
  <c r="Z42" i="19"/>
  <c r="Z43" i="19"/>
  <c r="Z44" i="19"/>
  <c r="Z45" i="19"/>
  <c r="Z46" i="19"/>
  <c r="Z47" i="19"/>
  <c r="Z48" i="19"/>
  <c r="Z53" i="19"/>
  <c r="Z54" i="19"/>
  <c r="Z56" i="19"/>
  <c r="Z57" i="19"/>
  <c r="Z58" i="19"/>
  <c r="Z59" i="19"/>
  <c r="Z60" i="19"/>
  <c r="Z61" i="19"/>
  <c r="Z62" i="19"/>
  <c r="Z67" i="19"/>
  <c r="Z68" i="19"/>
  <c r="Z70" i="19"/>
  <c r="Z71" i="19"/>
  <c r="Z72" i="19"/>
  <c r="Z73" i="19"/>
  <c r="Z74" i="19"/>
  <c r="Z75" i="19"/>
  <c r="Z76" i="19"/>
  <c r="Z81" i="19"/>
  <c r="Z82" i="19"/>
  <c r="Z84" i="19"/>
  <c r="Z85" i="19"/>
  <c r="Z86" i="19"/>
  <c r="Z87" i="19"/>
  <c r="Z88" i="19"/>
  <c r="Z89" i="19"/>
  <c r="Z90" i="19"/>
  <c r="Z95" i="19"/>
  <c r="Z96" i="19"/>
  <c r="Z98" i="19"/>
  <c r="Z99" i="19"/>
  <c r="Z100" i="19"/>
  <c r="Z101" i="19"/>
  <c r="Z102" i="19"/>
  <c r="Z103" i="19"/>
  <c r="Z104" i="19"/>
  <c r="Z109" i="19"/>
  <c r="Z110" i="19"/>
  <c r="Z112" i="19"/>
  <c r="Z113" i="19"/>
  <c r="Z114" i="19"/>
  <c r="Z115" i="19"/>
  <c r="Z116" i="19"/>
  <c r="Z117" i="19"/>
  <c r="Z118" i="19"/>
  <c r="Z123" i="19"/>
  <c r="Z124" i="19"/>
  <c r="Z126" i="19"/>
  <c r="Z127" i="19"/>
  <c r="Z128" i="19"/>
  <c r="Z129" i="19"/>
  <c r="Z130" i="19"/>
  <c r="Z131" i="19"/>
  <c r="Z132" i="19"/>
  <c r="Z137" i="19"/>
  <c r="F120" i="21"/>
  <c r="F92" i="21"/>
  <c r="F134" i="21"/>
  <c r="F22" i="21"/>
  <c r="F148" i="21"/>
  <c r="F36" i="21"/>
  <c r="F162" i="21"/>
  <c r="F106" i="21"/>
  <c r="F64" i="21"/>
  <c r="Q8" i="21"/>
  <c r="R8" i="21"/>
  <c r="F50" i="21"/>
  <c r="R21" i="22"/>
  <c r="F35" i="22"/>
  <c r="D36" i="21"/>
  <c r="H133" i="22"/>
  <c r="H119" i="22"/>
  <c r="H105" i="22"/>
  <c r="K7" i="22"/>
  <c r="H91" i="22"/>
  <c r="H77" i="22"/>
  <c r="E35" i="22"/>
  <c r="W6" i="23"/>
  <c r="V6" i="23"/>
  <c r="U6" i="23"/>
  <c r="D148" i="21"/>
  <c r="D64" i="21"/>
  <c r="D120" i="21"/>
  <c r="D78" i="21"/>
  <c r="D162" i="21"/>
  <c r="D22" i="21"/>
  <c r="W7" i="22"/>
  <c r="H147" i="22"/>
  <c r="H161" i="22"/>
  <c r="N22" i="21"/>
  <c r="E91" i="22"/>
  <c r="E49" i="22"/>
  <c r="E161" i="22"/>
  <c r="E147" i="22"/>
  <c r="E133" i="22"/>
  <c r="E119" i="22"/>
  <c r="E21" i="22"/>
  <c r="P21" i="22"/>
  <c r="V7" i="22"/>
  <c r="J6" i="23"/>
  <c r="R20" i="23"/>
  <c r="L87" i="26"/>
  <c r="L65" i="26"/>
  <c r="L57" i="26"/>
  <c r="L56" i="26"/>
  <c r="L60" i="26"/>
  <c r="L61" i="26"/>
  <c r="L62" i="26"/>
  <c r="I95" i="27"/>
  <c r="G7" i="27"/>
  <c r="J8" i="27" s="1"/>
  <c r="I51" i="27"/>
  <c r="I29" i="27"/>
  <c r="I73" i="27"/>
  <c r="C162" i="21"/>
  <c r="C78" i="21"/>
  <c r="E50" i="21"/>
  <c r="E64" i="21"/>
  <c r="C92" i="21"/>
  <c r="E106" i="21"/>
  <c r="C134" i="21"/>
  <c r="G161" i="22"/>
  <c r="G147" i="22"/>
  <c r="G133" i="22"/>
  <c r="G63" i="22"/>
  <c r="T21" i="22"/>
  <c r="G35" i="22"/>
  <c r="G49" i="22"/>
  <c r="C105" i="22"/>
  <c r="C119" i="22"/>
  <c r="C133" i="22"/>
  <c r="C146" i="23"/>
  <c r="C118" i="23"/>
  <c r="C160" i="23"/>
  <c r="C132" i="23"/>
  <c r="C104" i="23"/>
  <c r="C90" i="23"/>
  <c r="C62" i="23"/>
  <c r="C34" i="23"/>
  <c r="C20" i="23"/>
  <c r="C48" i="23"/>
  <c r="I6" i="23"/>
  <c r="E76" i="23"/>
  <c r="I7" i="26"/>
  <c r="K205" i="26"/>
  <c r="K139" i="26"/>
  <c r="K29" i="26"/>
  <c r="K253" i="26"/>
  <c r="K95" i="26"/>
  <c r="K183" i="26"/>
  <c r="K161" i="26"/>
  <c r="L58" i="26"/>
  <c r="L59" i="26"/>
  <c r="K227" i="26"/>
  <c r="E134" i="21"/>
  <c r="E92" i="21"/>
  <c r="C120" i="21"/>
  <c r="C77" i="22"/>
  <c r="C35" i="22"/>
  <c r="J7" i="22"/>
  <c r="E104" i="23"/>
  <c r="E90" i="23"/>
  <c r="E34" i="23"/>
  <c r="E20" i="23"/>
  <c r="P20" i="23"/>
  <c r="F34" i="23"/>
  <c r="E62" i="23"/>
  <c r="L54" i="26"/>
  <c r="L55" i="26"/>
  <c r="K73" i="26"/>
  <c r="L52" i="27"/>
  <c r="G132" i="28"/>
  <c r="G104" i="28"/>
  <c r="G76" i="28"/>
  <c r="G48" i="28"/>
  <c r="G20" i="28"/>
  <c r="G160" i="28"/>
  <c r="G146" i="28"/>
  <c r="G118" i="28"/>
  <c r="G90" i="28"/>
  <c r="G62" i="28"/>
  <c r="I6" i="28"/>
  <c r="G34" i="28"/>
  <c r="E162" i="21"/>
  <c r="C49" i="22"/>
  <c r="C63" i="22"/>
  <c r="G105" i="22"/>
  <c r="G119" i="22"/>
  <c r="F160" i="23"/>
  <c r="F132" i="23"/>
  <c r="F104" i="23"/>
  <c r="F76" i="23"/>
  <c r="F48" i="23"/>
  <c r="F118" i="23"/>
  <c r="F20" i="23"/>
  <c r="F62" i="23"/>
  <c r="F90" i="23"/>
  <c r="L53" i="26"/>
  <c r="H153" i="26"/>
  <c r="N152" i="26"/>
  <c r="H152" i="26"/>
  <c r="N151" i="26"/>
  <c r="H151" i="26"/>
  <c r="N150" i="26"/>
  <c r="H150" i="26"/>
  <c r="N149" i="26"/>
  <c r="H149" i="26"/>
  <c r="N148" i="26"/>
  <c r="H148" i="26"/>
  <c r="N147" i="26"/>
  <c r="H147" i="26"/>
  <c r="N146" i="26"/>
  <c r="H146" i="26"/>
  <c r="N145" i="26"/>
  <c r="H145" i="26"/>
  <c r="N144" i="26"/>
  <c r="H144" i="26"/>
  <c r="N143" i="26"/>
  <c r="H143" i="26"/>
  <c r="N142" i="26"/>
  <c r="H142" i="26"/>
  <c r="N141" i="26"/>
  <c r="H141" i="26"/>
  <c r="J153" i="26"/>
  <c r="J152" i="26"/>
  <c r="J151" i="26"/>
  <c r="J150" i="26"/>
  <c r="J149" i="26"/>
  <c r="J148" i="26"/>
  <c r="J147" i="26"/>
  <c r="J146" i="26"/>
  <c r="J145" i="26"/>
  <c r="J144" i="26"/>
  <c r="J143" i="26"/>
  <c r="J142" i="26"/>
  <c r="J141" i="26"/>
  <c r="L152" i="26"/>
  <c r="L149" i="26"/>
  <c r="L146" i="26"/>
  <c r="L143" i="26"/>
  <c r="L151" i="26"/>
  <c r="L148" i="26"/>
  <c r="L145" i="26"/>
  <c r="L142" i="26"/>
  <c r="D147" i="22"/>
  <c r="D105" i="22"/>
  <c r="D21" i="22"/>
  <c r="S21" i="22"/>
  <c r="G146" i="23"/>
  <c r="G118" i="23"/>
  <c r="G76" i="23"/>
  <c r="N62" i="26"/>
  <c r="N59" i="26"/>
  <c r="N56" i="26"/>
  <c r="N53" i="26"/>
  <c r="N55" i="26"/>
  <c r="N64" i="26"/>
  <c r="L96" i="27"/>
  <c r="L74" i="27"/>
  <c r="H219" i="26"/>
  <c r="N218" i="26"/>
  <c r="H218" i="26"/>
  <c r="N217" i="26"/>
  <c r="H217" i="26"/>
  <c r="N216" i="26"/>
  <c r="H216" i="26"/>
  <c r="N215" i="26"/>
  <c r="H215" i="26"/>
  <c r="N214" i="26"/>
  <c r="H214" i="26"/>
  <c r="N213" i="26"/>
  <c r="H213" i="26"/>
  <c r="N212" i="26"/>
  <c r="H212" i="26"/>
  <c r="N211" i="26"/>
  <c r="H211" i="26"/>
  <c r="N210" i="26"/>
  <c r="H210" i="26"/>
  <c r="N209" i="26"/>
  <c r="H209" i="26"/>
  <c r="N208" i="26"/>
  <c r="H208" i="26"/>
  <c r="N207" i="26"/>
  <c r="H207" i="26"/>
  <c r="D160" i="23"/>
  <c r="D132" i="23"/>
  <c r="D104" i="23"/>
  <c r="D118" i="23"/>
  <c r="D146" i="23"/>
  <c r="N75" i="26"/>
  <c r="N78" i="26"/>
  <c r="N81" i="26"/>
  <c r="N84" i="26"/>
  <c r="J207" i="26"/>
  <c r="J208" i="26"/>
  <c r="J209" i="26"/>
  <c r="J210" i="26"/>
  <c r="J211" i="26"/>
  <c r="J212" i="26"/>
  <c r="J213" i="26"/>
  <c r="J214" i="26"/>
  <c r="J215" i="26"/>
  <c r="J216" i="26"/>
  <c r="J217" i="26"/>
  <c r="J218" i="26"/>
  <c r="J219" i="26"/>
  <c r="N86" i="27"/>
  <c r="N85" i="27"/>
  <c r="N84" i="27"/>
  <c r="N83" i="27"/>
  <c r="N82" i="27"/>
  <c r="N81" i="27"/>
  <c r="N80" i="27"/>
  <c r="N79" i="27"/>
  <c r="N78" i="27"/>
  <c r="N77" i="27"/>
  <c r="N76" i="27"/>
  <c r="N75" i="27"/>
  <c r="N104" i="27"/>
  <c r="N101" i="27"/>
  <c r="N98" i="27"/>
  <c r="N108" i="27"/>
  <c r="N107" i="27"/>
  <c r="N106" i="27"/>
  <c r="N103" i="27"/>
  <c r="N100" i="27"/>
  <c r="N97" i="27"/>
  <c r="N42" i="27"/>
  <c r="N41" i="27"/>
  <c r="N40" i="27"/>
  <c r="N39" i="27"/>
  <c r="N38" i="27"/>
  <c r="N37" i="27"/>
  <c r="N36" i="27"/>
  <c r="N35" i="27"/>
  <c r="N34" i="27"/>
  <c r="N33" i="27"/>
  <c r="N32" i="27"/>
  <c r="N31" i="27"/>
  <c r="N105" i="27"/>
  <c r="N64" i="27"/>
  <c r="N56" i="27"/>
  <c r="N62" i="27"/>
  <c r="N96" i="27"/>
  <c r="D160" i="29"/>
  <c r="D132" i="29"/>
  <c r="D104" i="29"/>
  <c r="D76" i="29"/>
  <c r="D48" i="29"/>
  <c r="D20" i="29"/>
  <c r="D146" i="29"/>
  <c r="D118" i="29"/>
  <c r="D90" i="29"/>
  <c r="D62" i="29"/>
  <c r="D34" i="29"/>
  <c r="G118" i="30"/>
  <c r="G132" i="30"/>
  <c r="G160" i="30"/>
  <c r="G146" i="30"/>
  <c r="G48" i="30"/>
  <c r="G104" i="30"/>
  <c r="G62" i="30"/>
  <c r="G76" i="30"/>
  <c r="G90" i="30"/>
  <c r="G20" i="30"/>
  <c r="G34" i="30"/>
  <c r="N8" i="26"/>
  <c r="M117" i="26"/>
  <c r="M183" i="26"/>
  <c r="M253" i="26"/>
  <c r="L8" i="27"/>
  <c r="C62" i="28"/>
  <c r="C90" i="28"/>
  <c r="C118" i="28"/>
  <c r="J260" i="26"/>
  <c r="J261" i="26"/>
  <c r="J262" i="26"/>
  <c r="J263" i="26"/>
  <c r="J264" i="26"/>
  <c r="J265" i="26"/>
  <c r="J266" i="26"/>
  <c r="N8" i="27"/>
  <c r="K29" i="27"/>
  <c r="F20" i="28"/>
  <c r="F62" i="28"/>
  <c r="F90" i="28"/>
  <c r="F118" i="28"/>
  <c r="F146" i="28"/>
  <c r="N86" i="32"/>
  <c r="N85" i="32"/>
  <c r="N84" i="32"/>
  <c r="N83" i="32"/>
  <c r="N82" i="32"/>
  <c r="N81" i="32"/>
  <c r="N80" i="32"/>
  <c r="N79" i="32"/>
  <c r="N78" i="32"/>
  <c r="N77" i="32"/>
  <c r="N76" i="32"/>
  <c r="N75" i="32"/>
  <c r="N64" i="32"/>
  <c r="N63" i="32"/>
  <c r="N62" i="32"/>
  <c r="N61" i="32"/>
  <c r="N60" i="32"/>
  <c r="N59" i="32"/>
  <c r="N58" i="32"/>
  <c r="N57" i="32"/>
  <c r="N56" i="32"/>
  <c r="N55" i="32"/>
  <c r="N54" i="32"/>
  <c r="N53" i="32"/>
  <c r="N52" i="32"/>
  <c r="F160" i="28"/>
  <c r="M95" i="26"/>
  <c r="M161" i="26"/>
  <c r="C160" i="28"/>
  <c r="C34" i="28"/>
  <c r="F48" i="28"/>
  <c r="F76" i="28"/>
  <c r="F104" i="28"/>
  <c r="F132" i="28"/>
  <c r="D76" i="28"/>
  <c r="D104" i="28"/>
  <c r="D132" i="28"/>
  <c r="E76" i="28"/>
  <c r="E104" i="28"/>
  <c r="E132" i="28"/>
  <c r="F146" i="29"/>
  <c r="F76" i="29"/>
  <c r="C118" i="29"/>
  <c r="F132" i="29"/>
  <c r="F160" i="29"/>
  <c r="J6" i="28"/>
  <c r="D34" i="28"/>
  <c r="D62" i="28"/>
  <c r="D90" i="28"/>
  <c r="D118" i="28"/>
  <c r="D146" i="28"/>
  <c r="K6" i="29"/>
  <c r="C146" i="29"/>
  <c r="L6" i="30"/>
  <c r="K6" i="30"/>
  <c r="J6" i="30"/>
  <c r="I6" i="30"/>
  <c r="F30" i="32"/>
  <c r="E160" i="28"/>
  <c r="K6" i="28"/>
  <c r="E34" i="28"/>
  <c r="E62" i="28"/>
  <c r="E90" i="28"/>
  <c r="E118" i="28"/>
  <c r="E146" i="28"/>
  <c r="D160" i="28"/>
  <c r="C160" i="29"/>
  <c r="C132" i="29"/>
  <c r="I6" i="29"/>
  <c r="C90" i="29"/>
  <c r="F104" i="29"/>
  <c r="M6" i="30"/>
  <c r="L8" i="33"/>
  <c r="N8" i="33"/>
  <c r="G104" i="29"/>
  <c r="G132" i="29"/>
  <c r="G160" i="29"/>
  <c r="C146" i="30"/>
  <c r="C160" i="30"/>
  <c r="C34" i="30"/>
  <c r="E62" i="30"/>
  <c r="D104" i="30"/>
  <c r="D52" i="32"/>
  <c r="E34" i="29"/>
  <c r="E62" i="29"/>
  <c r="E90" i="29"/>
  <c r="E118" i="29"/>
  <c r="E146" i="29"/>
  <c r="D160" i="30"/>
  <c r="D118" i="30"/>
  <c r="C20" i="30"/>
  <c r="D34" i="30"/>
  <c r="E48" i="30"/>
  <c r="F62" i="30"/>
  <c r="E104" i="30"/>
  <c r="C132" i="30"/>
  <c r="D146" i="30"/>
  <c r="H30" i="32"/>
  <c r="N74" i="32"/>
  <c r="N250" i="32"/>
  <c r="E132" i="30"/>
  <c r="E34" i="30"/>
  <c r="C90" i="30"/>
  <c r="C118" i="30"/>
  <c r="D132" i="30"/>
  <c r="E146" i="30"/>
  <c r="G34" i="29"/>
  <c r="G62" i="29"/>
  <c r="G90" i="29"/>
  <c r="G118" i="29"/>
  <c r="G146" i="29"/>
  <c r="F104" i="30"/>
  <c r="F118" i="30"/>
  <c r="F146" i="30"/>
  <c r="E20" i="30"/>
  <c r="F34" i="30"/>
  <c r="C76" i="30"/>
  <c r="D90" i="30"/>
  <c r="E118" i="30"/>
  <c r="F132" i="30"/>
  <c r="F52" i="32"/>
  <c r="F79" i="32"/>
  <c r="F82" i="32"/>
  <c r="F85" i="32"/>
  <c r="N119" i="32"/>
  <c r="J120" i="32"/>
  <c r="H121" i="32"/>
  <c r="N122" i="32"/>
  <c r="J123" i="32"/>
  <c r="H124" i="32"/>
  <c r="N125" i="32"/>
  <c r="J126" i="32"/>
  <c r="H127" i="32"/>
  <c r="N128" i="32"/>
  <c r="J129" i="32"/>
  <c r="H130" i="32"/>
  <c r="J140" i="32"/>
  <c r="N185" i="32"/>
  <c r="J186" i="32"/>
  <c r="H187" i="32"/>
  <c r="N188" i="32"/>
  <c r="J189" i="32"/>
  <c r="H190" i="32"/>
  <c r="N191" i="32"/>
  <c r="J192" i="32"/>
  <c r="H193" i="32"/>
  <c r="N194" i="32"/>
  <c r="J195" i="32"/>
  <c r="H196" i="32"/>
  <c r="J206" i="32"/>
  <c r="L263" i="32"/>
  <c r="F263" i="32"/>
  <c r="L262" i="32"/>
  <c r="F262" i="32"/>
  <c r="L261" i="32"/>
  <c r="F261" i="32"/>
  <c r="L260" i="32"/>
  <c r="F260" i="32"/>
  <c r="L259" i="32"/>
  <c r="F259" i="32"/>
  <c r="L258" i="32"/>
  <c r="F258" i="32"/>
  <c r="L257" i="32"/>
  <c r="F257" i="32"/>
  <c r="L256" i="32"/>
  <c r="F256" i="32"/>
  <c r="L255" i="32"/>
  <c r="F255" i="32"/>
  <c r="L254" i="32"/>
  <c r="F254" i="32"/>
  <c r="L253" i="32"/>
  <c r="F253" i="32"/>
  <c r="L252" i="32"/>
  <c r="F252" i="32"/>
  <c r="L251" i="32"/>
  <c r="F251" i="32"/>
  <c r="H74" i="33"/>
  <c r="N43" i="35"/>
  <c r="N37" i="35"/>
  <c r="N31" i="35"/>
  <c r="N38" i="35"/>
  <c r="N32" i="35"/>
  <c r="N40" i="35"/>
  <c r="N34" i="35"/>
  <c r="N41" i="35"/>
  <c r="N36" i="35"/>
  <c r="N39" i="35"/>
  <c r="N30" i="35"/>
  <c r="N42" i="35"/>
  <c r="N33" i="35"/>
  <c r="N35" i="35"/>
  <c r="H87" i="32"/>
  <c r="H86" i="32"/>
  <c r="H85" i="32"/>
  <c r="H84" i="32"/>
  <c r="H83" i="32"/>
  <c r="H82" i="32"/>
  <c r="H81" i="32"/>
  <c r="H80" i="32"/>
  <c r="H79" i="32"/>
  <c r="H78" i="32"/>
  <c r="H77" i="32"/>
  <c r="H76" i="32"/>
  <c r="H75" i="32"/>
  <c r="H52" i="32"/>
  <c r="F119" i="32"/>
  <c r="L120" i="32"/>
  <c r="F122" i="32"/>
  <c r="L123" i="32"/>
  <c r="F125" i="32"/>
  <c r="L126" i="32"/>
  <c r="F128" i="32"/>
  <c r="L129" i="32"/>
  <c r="F131" i="32"/>
  <c r="F185" i="32"/>
  <c r="L186" i="32"/>
  <c r="F188" i="32"/>
  <c r="L189" i="32"/>
  <c r="F191" i="32"/>
  <c r="L192" i="32"/>
  <c r="F194" i="32"/>
  <c r="L195" i="32"/>
  <c r="F197" i="32"/>
  <c r="AJ7" i="37"/>
  <c r="J87" i="32"/>
  <c r="J86" i="32"/>
  <c r="J85" i="32"/>
  <c r="J84" i="32"/>
  <c r="J83" i="32"/>
  <c r="J82" i="32"/>
  <c r="J81" i="32"/>
  <c r="J80" i="32"/>
  <c r="J79" i="32"/>
  <c r="J78" i="32"/>
  <c r="J77" i="32"/>
  <c r="J52" i="32"/>
  <c r="J76" i="32"/>
  <c r="F77" i="32"/>
  <c r="F80" i="32"/>
  <c r="F83" i="32"/>
  <c r="H119" i="32"/>
  <c r="N120" i="32"/>
  <c r="J121" i="32"/>
  <c r="H122" i="32"/>
  <c r="N123" i="32"/>
  <c r="J124" i="32"/>
  <c r="H125" i="32"/>
  <c r="N126" i="32"/>
  <c r="J127" i="32"/>
  <c r="H128" i="32"/>
  <c r="N129" i="32"/>
  <c r="J130" i="32"/>
  <c r="H131" i="32"/>
  <c r="H185" i="32"/>
  <c r="N186" i="32"/>
  <c r="J187" i="32"/>
  <c r="H188" i="32"/>
  <c r="N189" i="32"/>
  <c r="J190" i="32"/>
  <c r="H191" i="32"/>
  <c r="N192" i="32"/>
  <c r="J193" i="32"/>
  <c r="H194" i="32"/>
  <c r="N195" i="32"/>
  <c r="J196" i="32"/>
  <c r="H197" i="32"/>
  <c r="F250" i="32"/>
  <c r="N260" i="32"/>
  <c r="N261" i="32"/>
  <c r="N26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J96" i="32"/>
  <c r="F118" i="32"/>
  <c r="F120" i="32"/>
  <c r="L121" i="32"/>
  <c r="F123" i="32"/>
  <c r="L124" i="32"/>
  <c r="F126" i="32"/>
  <c r="L127" i="32"/>
  <c r="F129" i="32"/>
  <c r="L130" i="32"/>
  <c r="N140" i="32"/>
  <c r="J162" i="32"/>
  <c r="F184" i="32"/>
  <c r="F186" i="32"/>
  <c r="L187" i="32"/>
  <c r="F189" i="32"/>
  <c r="L190" i="32"/>
  <c r="F192" i="32"/>
  <c r="L193" i="32"/>
  <c r="F195" i="32"/>
  <c r="L196" i="32"/>
  <c r="N206" i="32"/>
  <c r="J228" i="32"/>
  <c r="M95" i="33"/>
  <c r="N96" i="33" s="1"/>
  <c r="M73" i="33"/>
  <c r="N74" i="33" s="1"/>
  <c r="M29" i="33"/>
  <c r="L43" i="33"/>
  <c r="L42" i="33"/>
  <c r="L41" i="33"/>
  <c r="L40" i="33"/>
  <c r="L39" i="33"/>
  <c r="L38" i="33"/>
  <c r="L37" i="33"/>
  <c r="L36" i="33"/>
  <c r="L35" i="33"/>
  <c r="L34" i="33"/>
  <c r="L33" i="33"/>
  <c r="L32" i="33"/>
  <c r="L31" i="33"/>
  <c r="L109" i="33"/>
  <c r="L108" i="33"/>
  <c r="L107" i="33"/>
  <c r="L106" i="33"/>
  <c r="L105" i="33"/>
  <c r="L104" i="33"/>
  <c r="L103" i="33"/>
  <c r="L102" i="33"/>
  <c r="L101" i="33"/>
  <c r="L100" i="33"/>
  <c r="L99" i="33"/>
  <c r="L98" i="33"/>
  <c r="L97" i="33"/>
  <c r="L65" i="33"/>
  <c r="L64" i="33"/>
  <c r="L63" i="33"/>
  <c r="L62" i="33"/>
  <c r="L61" i="33"/>
  <c r="L60" i="33"/>
  <c r="L59" i="33"/>
  <c r="L58" i="33"/>
  <c r="L57" i="33"/>
  <c r="L56" i="33"/>
  <c r="L55" i="33"/>
  <c r="L54" i="33"/>
  <c r="L53" i="33"/>
  <c r="F52" i="35"/>
  <c r="AB7" i="37"/>
  <c r="J273" i="32"/>
  <c r="F274" i="32"/>
  <c r="H275" i="32"/>
  <c r="J276" i="32"/>
  <c r="F277" i="32"/>
  <c r="H278" i="32"/>
  <c r="J279" i="32"/>
  <c r="F280" i="32"/>
  <c r="H281" i="32"/>
  <c r="J282" i="32"/>
  <c r="F283" i="32"/>
  <c r="H284" i="32"/>
  <c r="J285" i="32"/>
  <c r="L75" i="33"/>
  <c r="L77" i="33"/>
  <c r="L79" i="33"/>
  <c r="L81" i="33"/>
  <c r="L83" i="33"/>
  <c r="L85" i="33"/>
  <c r="L87" i="33"/>
  <c r="N106" i="35"/>
  <c r="N100" i="35"/>
  <c r="N107" i="35"/>
  <c r="N101" i="35"/>
  <c r="M95" i="35"/>
  <c r="N103" i="35"/>
  <c r="N102" i="35"/>
  <c r="N21" i="35"/>
  <c r="N20" i="35"/>
  <c r="N19" i="35"/>
  <c r="N18" i="35"/>
  <c r="N17" i="35"/>
  <c r="N16" i="35"/>
  <c r="N15" i="35"/>
  <c r="N14" i="35"/>
  <c r="N13" i="35"/>
  <c r="N12" i="35"/>
  <c r="N11" i="35"/>
  <c r="N10" i="35"/>
  <c r="N9" i="35"/>
  <c r="N104" i="35"/>
  <c r="N108" i="35"/>
  <c r="N98" i="35"/>
  <c r="M73" i="35"/>
  <c r="M51" i="35"/>
  <c r="N105" i="35"/>
  <c r="N8" i="35"/>
  <c r="V7" i="37"/>
  <c r="L273" i="32"/>
  <c r="N274" i="32"/>
  <c r="L276" i="32"/>
  <c r="N277" i="32"/>
  <c r="L279" i="32"/>
  <c r="N280" i="32"/>
  <c r="L282" i="32"/>
  <c r="N283" i="32"/>
  <c r="L285" i="32"/>
  <c r="L96" i="33"/>
  <c r="C109" i="35"/>
  <c r="C95" i="35"/>
  <c r="C87" i="35"/>
  <c r="C73" i="35"/>
  <c r="D74" i="35" s="1"/>
  <c r="C51" i="35"/>
  <c r="C29" i="35"/>
  <c r="D8" i="35"/>
  <c r="N99" i="35"/>
  <c r="I29" i="37"/>
  <c r="H29" i="37"/>
  <c r="F273" i="32"/>
  <c r="H274" i="32"/>
  <c r="J275" i="32"/>
  <c r="F276" i="32"/>
  <c r="H277" i="32"/>
  <c r="J278" i="32"/>
  <c r="F279" i="32"/>
  <c r="H280" i="32"/>
  <c r="J281" i="32"/>
  <c r="F282" i="32"/>
  <c r="H283" i="32"/>
  <c r="J284" i="32"/>
  <c r="F285" i="32"/>
  <c r="L30" i="33"/>
  <c r="L43" i="35"/>
  <c r="P5" i="39"/>
  <c r="Q5" i="39"/>
  <c r="J87" i="33"/>
  <c r="J86" i="33"/>
  <c r="J85" i="33"/>
  <c r="J84" i="33"/>
  <c r="J83" i="33"/>
  <c r="J82" i="33"/>
  <c r="J81" i="33"/>
  <c r="J80" i="33"/>
  <c r="J79" i="33"/>
  <c r="J78" i="33"/>
  <c r="J77" i="33"/>
  <c r="J76" i="33"/>
  <c r="J75" i="33"/>
  <c r="J65" i="33"/>
  <c r="J64" i="33"/>
  <c r="J63" i="33"/>
  <c r="J62" i="33"/>
  <c r="J61" i="33"/>
  <c r="J60" i="33"/>
  <c r="J59" i="33"/>
  <c r="J58" i="33"/>
  <c r="J57" i="33"/>
  <c r="J56" i="33"/>
  <c r="J55" i="33"/>
  <c r="J54" i="33"/>
  <c r="J53" i="33"/>
  <c r="J97" i="33"/>
  <c r="J98" i="33"/>
  <c r="J99" i="33"/>
  <c r="J100" i="33"/>
  <c r="J101" i="33"/>
  <c r="J102" i="33"/>
  <c r="J103" i="33"/>
  <c r="J104" i="33"/>
  <c r="J105" i="33"/>
  <c r="J106" i="33"/>
  <c r="J107" i="33"/>
  <c r="J108" i="33"/>
  <c r="J109" i="33"/>
  <c r="H106" i="35"/>
  <c r="H100" i="35"/>
  <c r="H84" i="35"/>
  <c r="H107" i="35"/>
  <c r="H101" i="35"/>
  <c r="H85" i="35"/>
  <c r="H103" i="35"/>
  <c r="H108" i="35"/>
  <c r="H81" i="35"/>
  <c r="H59" i="35"/>
  <c r="H53" i="35"/>
  <c r="H37" i="35"/>
  <c r="H31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H98" i="35"/>
  <c r="G95" i="35"/>
  <c r="H96" i="35" s="1"/>
  <c r="H86" i="35"/>
  <c r="H82" i="35"/>
  <c r="H76" i="35"/>
  <c r="G73" i="35"/>
  <c r="H74" i="35" s="1"/>
  <c r="H60" i="35"/>
  <c r="H54" i="35"/>
  <c r="G51" i="35"/>
  <c r="H38" i="35"/>
  <c r="H32" i="35"/>
  <c r="G29" i="35"/>
  <c r="H102" i="35"/>
  <c r="H83" i="35"/>
  <c r="H78" i="35"/>
  <c r="H62" i="35"/>
  <c r="H56" i="35"/>
  <c r="H40" i="35"/>
  <c r="H34" i="35"/>
  <c r="H104" i="35"/>
  <c r="H79" i="35"/>
  <c r="H63" i="35"/>
  <c r="H57" i="35"/>
  <c r="H41" i="35"/>
  <c r="H36" i="35"/>
  <c r="H55" i="35"/>
  <c r="F65" i="35"/>
  <c r="H35" i="35"/>
  <c r="H105" i="35"/>
  <c r="H33" i="35"/>
  <c r="H99" i="35"/>
  <c r="AS7" i="37"/>
  <c r="AR7" i="37"/>
  <c r="J5" i="39"/>
  <c r="I5" i="39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F97" i="33"/>
  <c r="F98" i="33"/>
  <c r="F99" i="33"/>
  <c r="F100" i="33"/>
  <c r="F101" i="33"/>
  <c r="F102" i="33"/>
  <c r="F103" i="33"/>
  <c r="F104" i="33"/>
  <c r="F105" i="33"/>
  <c r="F106" i="33"/>
  <c r="F107" i="33"/>
  <c r="F108" i="33"/>
  <c r="F109" i="33"/>
  <c r="F104" i="35"/>
  <c r="F98" i="35"/>
  <c r="F105" i="35"/>
  <c r="F99" i="35"/>
  <c r="F107" i="35"/>
  <c r="F101" i="35"/>
  <c r="F85" i="35"/>
  <c r="F8" i="35"/>
  <c r="F32" i="35"/>
  <c r="L32" i="35"/>
  <c r="J36" i="35"/>
  <c r="F38" i="35"/>
  <c r="L38" i="35"/>
  <c r="J42" i="35"/>
  <c r="F54" i="35"/>
  <c r="L54" i="35"/>
  <c r="J58" i="35"/>
  <c r="F60" i="35"/>
  <c r="L60" i="35"/>
  <c r="J64" i="35"/>
  <c r="F76" i="35"/>
  <c r="L76" i="35"/>
  <c r="J80" i="35"/>
  <c r="F82" i="35"/>
  <c r="L82" i="35"/>
  <c r="F84" i="35"/>
  <c r="F100" i="35"/>
  <c r="L106" i="35"/>
  <c r="F30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J108" i="35"/>
  <c r="J102" i="35"/>
  <c r="J86" i="35"/>
  <c r="J103" i="35"/>
  <c r="J105" i="35"/>
  <c r="J99" i="35"/>
  <c r="I95" i="35"/>
  <c r="J96" i="35" s="1"/>
  <c r="J83" i="35"/>
  <c r="J8" i="35"/>
  <c r="J34" i="35"/>
  <c r="L36" i="35"/>
  <c r="J40" i="35"/>
  <c r="F42" i="35"/>
  <c r="L42" i="35"/>
  <c r="J56" i="35"/>
  <c r="F58" i="35"/>
  <c r="L58" i="35"/>
  <c r="J62" i="35"/>
  <c r="F64" i="35"/>
  <c r="L64" i="35"/>
  <c r="J78" i="35"/>
  <c r="F80" i="35"/>
  <c r="L80" i="35"/>
  <c r="J100" i="35"/>
  <c r="F108" i="35"/>
  <c r="F34" i="33"/>
  <c r="F35" i="33"/>
  <c r="F36" i="33"/>
  <c r="F37" i="33"/>
  <c r="F38" i="33"/>
  <c r="F39" i="33"/>
  <c r="F40" i="33"/>
  <c r="F41" i="33"/>
  <c r="F42" i="33"/>
  <c r="L104" i="35"/>
  <c r="L98" i="35"/>
  <c r="L105" i="35"/>
  <c r="L99" i="35"/>
  <c r="L107" i="35"/>
  <c r="L101" i="35"/>
  <c r="L85" i="35"/>
  <c r="L8" i="35"/>
  <c r="I29" i="35"/>
  <c r="L30" i="35" s="1"/>
  <c r="J33" i="35"/>
  <c r="F35" i="35"/>
  <c r="L35" i="35"/>
  <c r="J39" i="35"/>
  <c r="F41" i="35"/>
  <c r="L41" i="35"/>
  <c r="I51" i="35"/>
  <c r="J55" i="35"/>
  <c r="F57" i="35"/>
  <c r="L57" i="35"/>
  <c r="J61" i="35"/>
  <c r="F63" i="35"/>
  <c r="L63" i="35"/>
  <c r="I73" i="35"/>
  <c r="J74" i="35" s="1"/>
  <c r="J77" i="35"/>
  <c r="F79" i="35"/>
  <c r="L79" i="35"/>
  <c r="L83" i="35"/>
  <c r="J84" i="35"/>
  <c r="J85" i="35"/>
  <c r="K95" i="35"/>
  <c r="L96" i="35" s="1"/>
  <c r="J98" i="35"/>
  <c r="L100" i="35"/>
  <c r="F106" i="35"/>
  <c r="R5" i="42"/>
  <c r="F5" i="44"/>
  <c r="F10" i="44"/>
  <c r="F7" i="44"/>
  <c r="F6" i="44"/>
  <c r="F9" i="44"/>
  <c r="H5" i="44"/>
  <c r="F8" i="44"/>
  <c r="Q5" i="38"/>
  <c r="C129" i="41"/>
  <c r="AU7" i="37"/>
  <c r="H8" i="37"/>
  <c r="N8" i="37"/>
  <c r="V8" i="37"/>
  <c r="AB8" i="37"/>
  <c r="H9" i="37"/>
  <c r="N9" i="37"/>
  <c r="V9" i="37"/>
  <c r="AB9" i="37"/>
  <c r="H10" i="37"/>
  <c r="N10" i="37"/>
  <c r="V10" i="37"/>
  <c r="AB10" i="37"/>
  <c r="H11" i="37"/>
  <c r="N11" i="37"/>
  <c r="V11" i="37"/>
  <c r="AB11" i="37"/>
  <c r="H12" i="37"/>
  <c r="N12" i="37"/>
  <c r="V12" i="37"/>
  <c r="AB12" i="37"/>
  <c r="H13" i="37"/>
  <c r="N13" i="37"/>
  <c r="V13" i="37"/>
  <c r="AB13" i="37"/>
  <c r="H14" i="37"/>
  <c r="N14" i="37"/>
  <c r="V14" i="37"/>
  <c r="AB14" i="37"/>
  <c r="H15" i="37"/>
  <c r="N15" i="37"/>
  <c r="V15" i="37"/>
  <c r="AB15" i="37"/>
  <c r="H16" i="37"/>
  <c r="N16" i="37"/>
  <c r="V16" i="37"/>
  <c r="AB16" i="37"/>
  <c r="H17" i="37"/>
  <c r="N17" i="37"/>
  <c r="V17" i="37"/>
  <c r="AB17" i="37"/>
  <c r="K123" i="41"/>
  <c r="M123" i="41"/>
  <c r="L123" i="41"/>
  <c r="AK7" i="37"/>
  <c r="H133" i="42"/>
  <c r="M133" i="42"/>
  <c r="S5" i="45"/>
  <c r="Q5" i="45"/>
  <c r="P5" i="45"/>
  <c r="T5" i="45"/>
  <c r="J5" i="42"/>
  <c r="M5" i="42"/>
  <c r="L5" i="42"/>
  <c r="G133" i="42"/>
  <c r="M5" i="43"/>
  <c r="N5" i="43"/>
  <c r="R5" i="45"/>
  <c r="F10" i="43"/>
  <c r="I5" i="43"/>
  <c r="F7" i="43"/>
  <c r="F5" i="43"/>
  <c r="F9" i="43"/>
  <c r="G133" i="44"/>
  <c r="I133" i="44"/>
  <c r="L133" i="44"/>
  <c r="H133" i="44"/>
  <c r="G5" i="41"/>
  <c r="P5" i="41"/>
  <c r="O5" i="41"/>
  <c r="Q5" i="42"/>
  <c r="P5" i="42"/>
  <c r="T5" i="42"/>
  <c r="F8" i="43"/>
  <c r="H135" i="45"/>
  <c r="E146" i="45"/>
  <c r="S5" i="43"/>
  <c r="P5" i="43"/>
  <c r="R5" i="43"/>
  <c r="Q5" i="43"/>
  <c r="M133" i="44"/>
  <c r="N133" i="42"/>
  <c r="K133" i="42"/>
  <c r="C16" i="45"/>
  <c r="M135" i="46"/>
  <c r="G135" i="46"/>
  <c r="L135" i="46"/>
  <c r="I135" i="46"/>
  <c r="F6" i="42"/>
  <c r="L133" i="42"/>
  <c r="H135" i="46"/>
  <c r="C146" i="46"/>
  <c r="N135" i="47"/>
  <c r="K135" i="47"/>
  <c r="M135" i="47"/>
  <c r="L135" i="47"/>
  <c r="N135" i="46"/>
  <c r="O135" i="47"/>
  <c r="L133" i="43"/>
  <c r="M5" i="45"/>
  <c r="N5" i="45"/>
  <c r="O135" i="46"/>
  <c r="D146" i="47"/>
  <c r="I5" i="44"/>
  <c r="H5" i="45"/>
  <c r="F8" i="45"/>
  <c r="F11" i="45"/>
  <c r="D146" i="45"/>
  <c r="G135" i="45"/>
  <c r="N135" i="45"/>
  <c r="S5" i="46"/>
  <c r="H5" i="47"/>
  <c r="I5" i="47"/>
  <c r="L5" i="47"/>
  <c r="M135" i="45"/>
  <c r="H135" i="47"/>
  <c r="I135" i="47"/>
  <c r="T5" i="47"/>
  <c r="Q5" i="47"/>
  <c r="N96" i="35" l="1"/>
  <c r="K139" i="45"/>
  <c r="K138" i="46"/>
  <c r="K127" i="17"/>
  <c r="K118" i="17"/>
  <c r="K110" i="17"/>
  <c r="K97" i="17"/>
  <c r="K28" i="17"/>
  <c r="K158" i="17"/>
  <c r="K94" i="17"/>
  <c r="K85" i="17"/>
  <c r="K76" i="17"/>
  <c r="K68" i="17"/>
  <c r="K11" i="17"/>
  <c r="K159" i="17"/>
  <c r="K151" i="17"/>
  <c r="K142" i="17"/>
  <c r="K129" i="17"/>
  <c r="K60" i="17"/>
  <c r="K20" i="17"/>
  <c r="K12" i="17"/>
  <c r="K156" i="17"/>
  <c r="K143" i="17"/>
  <c r="K74" i="17"/>
  <c r="K30" i="17"/>
  <c r="Z147" i="19"/>
  <c r="K153" i="17"/>
  <c r="K84" i="17"/>
  <c r="Z161" i="19"/>
  <c r="K150" i="17"/>
  <c r="K141" i="17"/>
  <c r="K132" i="17"/>
  <c r="K124" i="17"/>
  <c r="K55" i="17"/>
  <c r="K42" i="17"/>
  <c r="K116" i="17"/>
  <c r="K52" i="17"/>
  <c r="K43" i="17"/>
  <c r="K34" i="17"/>
  <c r="K130" i="17"/>
  <c r="K66" i="17"/>
  <c r="K57" i="17"/>
  <c r="K48" i="17"/>
  <c r="K40" i="17"/>
  <c r="K31" i="17"/>
  <c r="K14" i="17"/>
  <c r="J96" i="27"/>
  <c r="K145" i="47"/>
  <c r="Z9" i="19"/>
  <c r="Z26" i="19"/>
  <c r="Z28" i="19"/>
  <c r="Z156" i="19"/>
  <c r="Z19" i="19"/>
  <c r="Z18" i="19"/>
  <c r="Z12" i="19"/>
  <c r="Z159" i="19"/>
  <c r="Z25" i="19"/>
  <c r="Z16" i="19"/>
  <c r="Z140" i="19"/>
  <c r="Z15" i="19"/>
  <c r="Z143" i="19"/>
  <c r="Z29" i="19"/>
  <c r="Z146" i="19"/>
  <c r="K140" i="17"/>
  <c r="K75" i="17"/>
  <c r="K67" i="17"/>
  <c r="K58" i="17"/>
  <c r="K45" i="17"/>
  <c r="Z153" i="19"/>
  <c r="K111" i="17"/>
  <c r="K98" i="17"/>
  <c r="K33" i="17"/>
  <c r="K25" i="17"/>
  <c r="K17" i="17"/>
  <c r="Z149" i="19"/>
  <c r="K108" i="17"/>
  <c r="K99" i="17"/>
  <c r="K90" i="17"/>
  <c r="K82" i="17"/>
  <c r="K27" i="17"/>
  <c r="K122" i="17"/>
  <c r="K113" i="17"/>
  <c r="K104" i="17"/>
  <c r="K96" i="17"/>
  <c r="F74" i="35"/>
  <c r="L87" i="35"/>
  <c r="F87" i="35"/>
  <c r="K131" i="17"/>
  <c r="K123" i="17"/>
  <c r="K114" i="17"/>
  <c r="K101" i="17"/>
  <c r="K32" i="17"/>
  <c r="K154" i="17"/>
  <c r="K89" i="17"/>
  <c r="K81" i="17"/>
  <c r="K72" i="17"/>
  <c r="K59" i="17"/>
  <c r="K13" i="17"/>
  <c r="Z150" i="19"/>
  <c r="K155" i="17"/>
  <c r="K146" i="17"/>
  <c r="K138" i="17"/>
  <c r="K69" i="17"/>
  <c r="K56" i="17"/>
  <c r="K16" i="17"/>
  <c r="K160" i="17"/>
  <c r="K152" i="17"/>
  <c r="K83" i="17"/>
  <c r="K70" i="17"/>
  <c r="K26" i="17"/>
  <c r="L74" i="35"/>
  <c r="J74" i="27"/>
  <c r="J87" i="35"/>
  <c r="K157" i="17"/>
  <c r="K88" i="17"/>
  <c r="K80" i="17"/>
  <c r="K24" i="17"/>
  <c r="K145" i="17"/>
  <c r="K137" i="17"/>
  <c r="K128" i="17"/>
  <c r="K115" i="17"/>
  <c r="K46" i="17"/>
  <c r="K125" i="17"/>
  <c r="K112" i="17"/>
  <c r="K47" i="17"/>
  <c r="K39" i="17"/>
  <c r="K139" i="17"/>
  <c r="K126" i="17"/>
  <c r="K61" i="17"/>
  <c r="K53" i="17"/>
  <c r="K44" i="17"/>
  <c r="K18" i="17"/>
  <c r="N141" i="46"/>
  <c r="M141" i="46"/>
  <c r="L141" i="46"/>
  <c r="O141" i="46"/>
  <c r="L142" i="46"/>
  <c r="O142" i="46"/>
  <c r="N142" i="46"/>
  <c r="M142" i="46"/>
  <c r="M145" i="46"/>
  <c r="N145" i="46"/>
  <c r="L145" i="46"/>
  <c r="O145" i="46"/>
  <c r="J14" i="45"/>
  <c r="I14" i="45"/>
  <c r="H14" i="45"/>
  <c r="J13" i="45"/>
  <c r="H13" i="45"/>
  <c r="I13" i="45"/>
  <c r="J12" i="45"/>
  <c r="I12" i="45"/>
  <c r="H12" i="45"/>
  <c r="J11" i="45"/>
  <c r="I11" i="45"/>
  <c r="H11" i="45"/>
  <c r="J10" i="45"/>
  <c r="H10" i="45"/>
  <c r="I10" i="45"/>
  <c r="J9" i="45"/>
  <c r="I9" i="45"/>
  <c r="H9" i="45"/>
  <c r="J8" i="45"/>
  <c r="I8" i="45"/>
  <c r="H8" i="45"/>
  <c r="J7" i="45"/>
  <c r="H7" i="45"/>
  <c r="I7" i="45"/>
  <c r="G16" i="45"/>
  <c r="J6" i="45"/>
  <c r="I6" i="45"/>
  <c r="H6" i="45"/>
  <c r="G136" i="47"/>
  <c r="F146" i="47"/>
  <c r="I136" i="47"/>
  <c r="H136" i="47"/>
  <c r="H138" i="47"/>
  <c r="G138" i="47"/>
  <c r="I138" i="47"/>
  <c r="G139" i="47"/>
  <c r="H139" i="47"/>
  <c r="K139" i="47" s="1"/>
  <c r="I139" i="47"/>
  <c r="I140" i="47"/>
  <c r="G140" i="47"/>
  <c r="H140" i="47"/>
  <c r="I137" i="47"/>
  <c r="G137" i="47"/>
  <c r="H137" i="47"/>
  <c r="K137" i="47" s="1"/>
  <c r="I143" i="47"/>
  <c r="H143" i="47"/>
  <c r="G143" i="47"/>
  <c r="O145" i="45"/>
  <c r="M145" i="45"/>
  <c r="N145" i="45"/>
  <c r="L145" i="45"/>
  <c r="N140" i="45"/>
  <c r="M140" i="45"/>
  <c r="O140" i="45"/>
  <c r="L140" i="45"/>
  <c r="N138" i="45"/>
  <c r="O138" i="45"/>
  <c r="L138" i="45"/>
  <c r="M138" i="45"/>
  <c r="O144" i="45"/>
  <c r="L144" i="45"/>
  <c r="M144" i="45"/>
  <c r="N144" i="45"/>
  <c r="I145" i="45"/>
  <c r="G145" i="45"/>
  <c r="H145" i="45"/>
  <c r="H140" i="45"/>
  <c r="K140" i="45" s="1"/>
  <c r="G140" i="45"/>
  <c r="I140" i="45"/>
  <c r="H136" i="45"/>
  <c r="K136" i="45" s="1"/>
  <c r="I136" i="45"/>
  <c r="G136" i="45"/>
  <c r="F146" i="45"/>
  <c r="I142" i="45"/>
  <c r="G142" i="45"/>
  <c r="H142" i="45"/>
  <c r="K142" i="45" s="1"/>
  <c r="R9" i="44"/>
  <c r="Q9" i="44"/>
  <c r="T9" i="44"/>
  <c r="S9" i="44"/>
  <c r="P9" i="44"/>
  <c r="R8" i="44"/>
  <c r="Q8" i="44"/>
  <c r="P8" i="44"/>
  <c r="T8" i="44"/>
  <c r="S8" i="44"/>
  <c r="R7" i="44"/>
  <c r="AA19" i="44"/>
  <c r="Q7" i="44"/>
  <c r="T7" i="44"/>
  <c r="S7" i="44"/>
  <c r="P7" i="44"/>
  <c r="R6" i="44"/>
  <c r="Q6" i="44"/>
  <c r="P6" i="44"/>
  <c r="T6" i="44"/>
  <c r="S6" i="44"/>
  <c r="N141" i="47"/>
  <c r="L141" i="47"/>
  <c r="O141" i="47"/>
  <c r="M141" i="47"/>
  <c r="M8" i="43"/>
  <c r="J8" i="43"/>
  <c r="I8" i="43"/>
  <c r="H8" i="43"/>
  <c r="J7" i="43"/>
  <c r="I7" i="43"/>
  <c r="H7" i="43"/>
  <c r="J6" i="43"/>
  <c r="I6" i="43"/>
  <c r="H6" i="43"/>
  <c r="M14" i="45"/>
  <c r="N14" i="45"/>
  <c r="L14" i="45"/>
  <c r="M11" i="45"/>
  <c r="N11" i="45"/>
  <c r="L11" i="45"/>
  <c r="M8" i="45"/>
  <c r="N8" i="45"/>
  <c r="L8" i="45"/>
  <c r="I134" i="43"/>
  <c r="H134" i="43"/>
  <c r="G134" i="43"/>
  <c r="O140" i="47"/>
  <c r="L140" i="47"/>
  <c r="N140" i="47"/>
  <c r="M140" i="47"/>
  <c r="L143" i="47"/>
  <c r="O143" i="47"/>
  <c r="M143" i="47"/>
  <c r="N143" i="47"/>
  <c r="N144" i="47"/>
  <c r="M144" i="47"/>
  <c r="L144" i="47"/>
  <c r="O144" i="47"/>
  <c r="L137" i="47"/>
  <c r="O137" i="47"/>
  <c r="N137" i="47"/>
  <c r="M137" i="47"/>
  <c r="N138" i="47"/>
  <c r="O138" i="47"/>
  <c r="M138" i="47"/>
  <c r="L138" i="47"/>
  <c r="M136" i="47"/>
  <c r="J146" i="47"/>
  <c r="N136" i="47"/>
  <c r="L136" i="47"/>
  <c r="O136" i="47"/>
  <c r="M142" i="47"/>
  <c r="L142" i="47"/>
  <c r="O142" i="47"/>
  <c r="N142" i="47"/>
  <c r="M139" i="47"/>
  <c r="O139" i="47"/>
  <c r="N139" i="47"/>
  <c r="L139" i="47"/>
  <c r="M145" i="47"/>
  <c r="N145" i="47"/>
  <c r="O145" i="47"/>
  <c r="L145" i="47"/>
  <c r="M6" i="42"/>
  <c r="L6" i="42"/>
  <c r="N6" i="42"/>
  <c r="H137" i="46"/>
  <c r="K137" i="46" s="1"/>
  <c r="I137" i="46"/>
  <c r="G137" i="46"/>
  <c r="G141" i="46"/>
  <c r="H141" i="46"/>
  <c r="I141" i="46"/>
  <c r="G145" i="46"/>
  <c r="I145" i="46"/>
  <c r="H145" i="46"/>
  <c r="H142" i="46"/>
  <c r="K142" i="46" s="1"/>
  <c r="G142" i="46"/>
  <c r="I142" i="46"/>
  <c r="G139" i="46"/>
  <c r="H139" i="46"/>
  <c r="I139" i="46"/>
  <c r="H144" i="46"/>
  <c r="K144" i="46" s="1"/>
  <c r="G144" i="46"/>
  <c r="I144" i="46"/>
  <c r="F146" i="46"/>
  <c r="I136" i="46"/>
  <c r="H136" i="46"/>
  <c r="K136" i="46" s="1"/>
  <c r="G136" i="46"/>
  <c r="I143" i="46"/>
  <c r="H143" i="46"/>
  <c r="K143" i="46" s="1"/>
  <c r="G143" i="46"/>
  <c r="I140" i="46"/>
  <c r="H140" i="46"/>
  <c r="K140" i="46" s="1"/>
  <c r="G140" i="46"/>
  <c r="M134" i="42"/>
  <c r="O134" i="42"/>
  <c r="L134" i="42"/>
  <c r="K134" i="42"/>
  <c r="N134" i="42"/>
  <c r="S8" i="43"/>
  <c r="P8" i="43"/>
  <c r="R8" i="43"/>
  <c r="Q8" i="43"/>
  <c r="T8" i="43"/>
  <c r="P8" i="42"/>
  <c r="S8" i="42"/>
  <c r="R8" i="42"/>
  <c r="Q8" i="42"/>
  <c r="T8" i="42"/>
  <c r="P9" i="42"/>
  <c r="S9" i="42"/>
  <c r="T9" i="42"/>
  <c r="Q9" i="42"/>
  <c r="R9" i="42"/>
  <c r="AA20" i="42"/>
  <c r="P10" i="42"/>
  <c r="S10" i="42"/>
  <c r="T10" i="42"/>
  <c r="R10" i="42"/>
  <c r="Q10" i="42"/>
  <c r="I134" i="44"/>
  <c r="H134" i="44"/>
  <c r="G134" i="44"/>
  <c r="M6" i="43"/>
  <c r="L6" i="43"/>
  <c r="N6" i="43"/>
  <c r="L9" i="43"/>
  <c r="N9" i="43"/>
  <c r="L10" i="43"/>
  <c r="M10" i="43"/>
  <c r="N10" i="43"/>
  <c r="J7" i="42"/>
  <c r="I7" i="42"/>
  <c r="H7" i="42"/>
  <c r="J8" i="42"/>
  <c r="M8" i="42"/>
  <c r="H8" i="42"/>
  <c r="I8" i="42"/>
  <c r="J9" i="42"/>
  <c r="M9" i="42"/>
  <c r="I9" i="42"/>
  <c r="H9" i="42"/>
  <c r="J10" i="42"/>
  <c r="I10" i="42"/>
  <c r="H10" i="42"/>
  <c r="I15" i="38"/>
  <c r="J15" i="38"/>
  <c r="J13" i="38"/>
  <c r="I13" i="38"/>
  <c r="I11" i="38"/>
  <c r="J11" i="38"/>
  <c r="J9" i="38"/>
  <c r="I9" i="38"/>
  <c r="I7" i="38"/>
  <c r="J7" i="38"/>
  <c r="I38" i="38"/>
  <c r="J38" i="38"/>
  <c r="J40" i="38"/>
  <c r="I40" i="38"/>
  <c r="J42" i="38"/>
  <c r="I42" i="38"/>
  <c r="I44" i="38"/>
  <c r="J44" i="38"/>
  <c r="J46" i="38"/>
  <c r="I46" i="38"/>
  <c r="J48" i="38"/>
  <c r="I48" i="38"/>
  <c r="I50" i="38"/>
  <c r="J50" i="38"/>
  <c r="AL37" i="37"/>
  <c r="AK37" i="37"/>
  <c r="AL35" i="37"/>
  <c r="AK35" i="37"/>
  <c r="AL33" i="37"/>
  <c r="AK33" i="37"/>
  <c r="AL31" i="37"/>
  <c r="AK31" i="37"/>
  <c r="S8" i="45"/>
  <c r="Q8" i="45"/>
  <c r="P8" i="45"/>
  <c r="T8" i="45"/>
  <c r="R8" i="45"/>
  <c r="S14" i="45"/>
  <c r="Q14" i="45"/>
  <c r="P14" i="45"/>
  <c r="T14" i="45"/>
  <c r="R14" i="45"/>
  <c r="S7" i="45"/>
  <c r="Q7" i="45"/>
  <c r="R7" i="45"/>
  <c r="P7" i="45"/>
  <c r="T7" i="45"/>
  <c r="S13" i="45"/>
  <c r="Q13" i="45"/>
  <c r="R13" i="45"/>
  <c r="P13" i="45"/>
  <c r="T13" i="45"/>
  <c r="S6" i="45"/>
  <c r="Q6" i="45"/>
  <c r="T6" i="45"/>
  <c r="O16" i="45"/>
  <c r="P6" i="45"/>
  <c r="R6" i="45"/>
  <c r="S9" i="45"/>
  <c r="Q9" i="45"/>
  <c r="T9" i="45"/>
  <c r="R9" i="45"/>
  <c r="P9" i="45"/>
  <c r="S12" i="45"/>
  <c r="Q12" i="45"/>
  <c r="T12" i="45"/>
  <c r="P12" i="45"/>
  <c r="R12" i="45"/>
  <c r="S15" i="45"/>
  <c r="Q15" i="45"/>
  <c r="T15" i="45"/>
  <c r="R15" i="45"/>
  <c r="P15" i="45"/>
  <c r="G134" i="42"/>
  <c r="H134" i="42"/>
  <c r="I134" i="42"/>
  <c r="J43" i="38"/>
  <c r="I43" i="38"/>
  <c r="J37" i="38"/>
  <c r="I37" i="38"/>
  <c r="V37" i="37"/>
  <c r="W37" i="37"/>
  <c r="V35" i="37"/>
  <c r="W35" i="37"/>
  <c r="V33" i="37"/>
  <c r="W33" i="37"/>
  <c r="V31" i="37"/>
  <c r="W31" i="37"/>
  <c r="AR18" i="37"/>
  <c r="AU18" i="37"/>
  <c r="AS18" i="37"/>
  <c r="AV18" i="37"/>
  <c r="AT18" i="37"/>
  <c r="AR17" i="37"/>
  <c r="AU17" i="37"/>
  <c r="AV17" i="37"/>
  <c r="AS17" i="37"/>
  <c r="AT17" i="37"/>
  <c r="AR16" i="37"/>
  <c r="AU16" i="37"/>
  <c r="AS16" i="37"/>
  <c r="AV16" i="37"/>
  <c r="AT16" i="37"/>
  <c r="AR15" i="37"/>
  <c r="AU15" i="37"/>
  <c r="AV15" i="37"/>
  <c r="AS15" i="37"/>
  <c r="AT15" i="37"/>
  <c r="AR14" i="37"/>
  <c r="AU14" i="37"/>
  <c r="AS14" i="37"/>
  <c r="AV14" i="37"/>
  <c r="AT14" i="37"/>
  <c r="AR13" i="37"/>
  <c r="AU13" i="37"/>
  <c r="AV13" i="37"/>
  <c r="AS13" i="37"/>
  <c r="AT13" i="37"/>
  <c r="AR12" i="37"/>
  <c r="AU12" i="37"/>
  <c r="AS12" i="37"/>
  <c r="AV12" i="37"/>
  <c r="AT12" i="37"/>
  <c r="AR11" i="37"/>
  <c r="AQ22" i="37"/>
  <c r="AU11" i="37"/>
  <c r="AV11" i="37"/>
  <c r="AS11" i="37"/>
  <c r="AT11" i="37"/>
  <c r="AR10" i="37"/>
  <c r="AU10" i="37"/>
  <c r="AS10" i="37"/>
  <c r="AV10" i="37"/>
  <c r="AT10" i="37"/>
  <c r="AR9" i="37"/>
  <c r="AU9" i="37"/>
  <c r="AV9" i="37"/>
  <c r="AS9" i="37"/>
  <c r="AT9" i="37"/>
  <c r="AR8" i="37"/>
  <c r="AU8" i="37"/>
  <c r="AS8" i="37"/>
  <c r="AV8" i="37"/>
  <c r="AT8" i="37"/>
  <c r="O127" i="41"/>
  <c r="M127" i="41"/>
  <c r="L127" i="41"/>
  <c r="J129" i="41"/>
  <c r="K127" i="41"/>
  <c r="N127" i="41"/>
  <c r="N128" i="41"/>
  <c r="M128" i="41"/>
  <c r="K128" i="41"/>
  <c r="O128" i="41"/>
  <c r="L128" i="41"/>
  <c r="K125" i="41"/>
  <c r="O125" i="41"/>
  <c r="N125" i="41"/>
  <c r="L125" i="41"/>
  <c r="M125" i="41"/>
  <c r="L126" i="41"/>
  <c r="K126" i="41"/>
  <c r="N126" i="41"/>
  <c r="M126" i="41"/>
  <c r="O126" i="41"/>
  <c r="J47" i="38"/>
  <c r="I47" i="38"/>
  <c r="J41" i="38"/>
  <c r="I41" i="38"/>
  <c r="J14" i="38"/>
  <c r="I14" i="38"/>
  <c r="J12" i="38"/>
  <c r="I12" i="38"/>
  <c r="J10" i="38"/>
  <c r="I10" i="38"/>
  <c r="J8" i="38"/>
  <c r="I8" i="38"/>
  <c r="J6" i="38"/>
  <c r="I6" i="38"/>
  <c r="AL40" i="37"/>
  <c r="AK40" i="37"/>
  <c r="AL38" i="37"/>
  <c r="AK38" i="37"/>
  <c r="AL36" i="37"/>
  <c r="AK36" i="37"/>
  <c r="AL34" i="37"/>
  <c r="AK34" i="37"/>
  <c r="AL32" i="37"/>
  <c r="AK32" i="37"/>
  <c r="AL30" i="37"/>
  <c r="AK30" i="37"/>
  <c r="AL18" i="37"/>
  <c r="AK18" i="37"/>
  <c r="AJ18" i="37"/>
  <c r="AL17" i="37"/>
  <c r="AK17" i="37"/>
  <c r="AJ17" i="37"/>
  <c r="AL16" i="37"/>
  <c r="AK16" i="37"/>
  <c r="AJ16" i="37"/>
  <c r="AL15" i="37"/>
  <c r="AK15" i="37"/>
  <c r="AJ15" i="37"/>
  <c r="AL14" i="37"/>
  <c r="AK14" i="37"/>
  <c r="AJ14" i="37"/>
  <c r="AL13" i="37"/>
  <c r="AK13" i="37"/>
  <c r="AJ13" i="37"/>
  <c r="AL12" i="37"/>
  <c r="AK12" i="37"/>
  <c r="AJ12" i="37"/>
  <c r="AL11" i="37"/>
  <c r="AK11" i="37"/>
  <c r="AJ11" i="37"/>
  <c r="AL10" i="37"/>
  <c r="AK10" i="37"/>
  <c r="AJ10" i="37"/>
  <c r="AL9" i="37"/>
  <c r="AK9" i="37"/>
  <c r="AJ9" i="37"/>
  <c r="AL8" i="37"/>
  <c r="AK8" i="37"/>
  <c r="AJ8" i="37"/>
  <c r="Q13" i="38"/>
  <c r="P13" i="38"/>
  <c r="Q9" i="38"/>
  <c r="P9" i="38"/>
  <c r="Q40" i="38"/>
  <c r="P40" i="38"/>
  <c r="Q46" i="38"/>
  <c r="P46" i="38"/>
  <c r="P16" i="38"/>
  <c r="Q16" i="38"/>
  <c r="P18" i="38"/>
  <c r="Q18" i="38"/>
  <c r="P20" i="38"/>
  <c r="Q20" i="38"/>
  <c r="P22" i="38"/>
  <c r="Q22" i="38"/>
  <c r="P24" i="38"/>
  <c r="Q24" i="38"/>
  <c r="P26" i="38"/>
  <c r="Q26" i="38"/>
  <c r="P28" i="38"/>
  <c r="Q28" i="38"/>
  <c r="P30" i="38"/>
  <c r="Q30" i="38"/>
  <c r="P32" i="38"/>
  <c r="Q32" i="38"/>
  <c r="P34" i="38"/>
  <c r="Q34" i="38"/>
  <c r="P36" i="38"/>
  <c r="Q36" i="38"/>
  <c r="P42" i="38"/>
  <c r="Q42" i="38"/>
  <c r="P48" i="38"/>
  <c r="Q48" i="38"/>
  <c r="Q39" i="38"/>
  <c r="P39" i="38"/>
  <c r="Q45" i="38"/>
  <c r="P45" i="38"/>
  <c r="Q51" i="38"/>
  <c r="P51" i="38"/>
  <c r="Q43" i="38"/>
  <c r="P43" i="38"/>
  <c r="Q37" i="38"/>
  <c r="P37" i="38"/>
  <c r="P35" i="38"/>
  <c r="Q35" i="38"/>
  <c r="P31" i="38"/>
  <c r="Q31" i="38"/>
  <c r="P27" i="38"/>
  <c r="Q27" i="38"/>
  <c r="P23" i="38"/>
  <c r="Q23" i="38"/>
  <c r="P19" i="38"/>
  <c r="Q19" i="38"/>
  <c r="J17" i="38"/>
  <c r="I17" i="38"/>
  <c r="J52" i="35"/>
  <c r="J65" i="35"/>
  <c r="L52" i="35"/>
  <c r="J30" i="35"/>
  <c r="J43" i="35"/>
  <c r="J44" i="39"/>
  <c r="I44" i="39"/>
  <c r="J26" i="39"/>
  <c r="I26" i="39"/>
  <c r="J18" i="38"/>
  <c r="I18" i="38"/>
  <c r="J19" i="38"/>
  <c r="I19" i="38"/>
  <c r="J97" i="35"/>
  <c r="I109" i="35"/>
  <c r="J9" i="39"/>
  <c r="I9" i="39"/>
  <c r="J8" i="39"/>
  <c r="I8" i="39"/>
  <c r="J14" i="39"/>
  <c r="I14" i="39"/>
  <c r="I18" i="39"/>
  <c r="J18" i="39"/>
  <c r="I21" i="39"/>
  <c r="J21" i="39"/>
  <c r="J6" i="39"/>
  <c r="I6" i="39"/>
  <c r="J12" i="39"/>
  <c r="I12" i="39"/>
  <c r="J20" i="39"/>
  <c r="I20" i="39"/>
  <c r="J34" i="39"/>
  <c r="I34" i="39"/>
  <c r="J11" i="39"/>
  <c r="I11" i="39"/>
  <c r="J16" i="39"/>
  <c r="I16" i="39"/>
  <c r="J28" i="39"/>
  <c r="I28" i="39"/>
  <c r="J38" i="39"/>
  <c r="I38" i="39"/>
  <c r="J46" i="39"/>
  <c r="I46" i="39"/>
  <c r="I7" i="39"/>
  <c r="J7" i="39"/>
  <c r="I13" i="39"/>
  <c r="J13" i="39"/>
  <c r="I19" i="39"/>
  <c r="J19" i="39"/>
  <c r="J22" i="39"/>
  <c r="I22" i="39"/>
  <c r="I32" i="39"/>
  <c r="J32" i="39"/>
  <c r="J40" i="39"/>
  <c r="I40" i="39"/>
  <c r="I50" i="39"/>
  <c r="J50" i="39"/>
  <c r="J10" i="39"/>
  <c r="I10" i="39"/>
  <c r="I17" i="39"/>
  <c r="J17" i="39"/>
  <c r="I24" i="39"/>
  <c r="J24" i="39"/>
  <c r="I30" i="39"/>
  <c r="J30" i="39"/>
  <c r="I36" i="39"/>
  <c r="J36" i="39"/>
  <c r="I42" i="39"/>
  <c r="J42" i="39"/>
  <c r="I48" i="39"/>
  <c r="J48" i="39"/>
  <c r="J15" i="39"/>
  <c r="I15" i="39"/>
  <c r="I23" i="39"/>
  <c r="J23" i="39"/>
  <c r="I25" i="39"/>
  <c r="J25" i="39"/>
  <c r="I27" i="39"/>
  <c r="J27" i="39"/>
  <c r="I29" i="39"/>
  <c r="J29" i="39"/>
  <c r="I31" i="39"/>
  <c r="J31" i="39"/>
  <c r="I33" i="39"/>
  <c r="J33" i="39"/>
  <c r="I35" i="39"/>
  <c r="J35" i="39"/>
  <c r="I37" i="39"/>
  <c r="J37" i="39"/>
  <c r="I39" i="39"/>
  <c r="J39" i="39"/>
  <c r="I41" i="39"/>
  <c r="J41" i="39"/>
  <c r="I43" i="39"/>
  <c r="J43" i="39"/>
  <c r="I45" i="39"/>
  <c r="J45" i="39"/>
  <c r="I47" i="39"/>
  <c r="J47" i="39"/>
  <c r="I49" i="39"/>
  <c r="J49" i="39"/>
  <c r="I51" i="39"/>
  <c r="J51" i="39"/>
  <c r="H43" i="35"/>
  <c r="H30" i="35"/>
  <c r="H65" i="35"/>
  <c r="H52" i="35"/>
  <c r="G87" i="35"/>
  <c r="H87" i="35" s="1"/>
  <c r="H75" i="35"/>
  <c r="G109" i="35"/>
  <c r="H109" i="35" s="1"/>
  <c r="H97" i="35"/>
  <c r="Q34" i="39"/>
  <c r="P34" i="39"/>
  <c r="Q13" i="39"/>
  <c r="P13" i="39"/>
  <c r="Q7" i="39"/>
  <c r="P7" i="39"/>
  <c r="Q16" i="39"/>
  <c r="P16" i="39"/>
  <c r="Q30" i="39"/>
  <c r="P30" i="39"/>
  <c r="Q48" i="39"/>
  <c r="P48" i="39"/>
  <c r="Q22" i="39"/>
  <c r="P22" i="39"/>
  <c r="Q40" i="39"/>
  <c r="P40" i="39"/>
  <c r="Q24" i="39"/>
  <c r="P24" i="39"/>
  <c r="Q42" i="39"/>
  <c r="P42" i="39"/>
  <c r="Q20" i="39"/>
  <c r="P20" i="39"/>
  <c r="Q9" i="39"/>
  <c r="P9" i="39"/>
  <c r="P18" i="39"/>
  <c r="Q18" i="39"/>
  <c r="Q28" i="39"/>
  <c r="P28" i="39"/>
  <c r="Q36" i="39"/>
  <c r="P36" i="39"/>
  <c r="Q46" i="39"/>
  <c r="P46" i="39"/>
  <c r="P6" i="39"/>
  <c r="Q6" i="39"/>
  <c r="P8" i="39"/>
  <c r="Q8" i="39"/>
  <c r="P10" i="39"/>
  <c r="Q10" i="39"/>
  <c r="P12" i="39"/>
  <c r="Q12" i="39"/>
  <c r="P14" i="39"/>
  <c r="Q14" i="39"/>
  <c r="P15" i="39"/>
  <c r="Q15" i="39"/>
  <c r="Q26" i="39"/>
  <c r="P26" i="39"/>
  <c r="Q32" i="39"/>
  <c r="P32" i="39"/>
  <c r="Q38" i="39"/>
  <c r="P38" i="39"/>
  <c r="Q44" i="39"/>
  <c r="P44" i="39"/>
  <c r="Q50" i="39"/>
  <c r="P50" i="39"/>
  <c r="Q17" i="39"/>
  <c r="P17" i="39"/>
  <c r="P19" i="39"/>
  <c r="Q19" i="39"/>
  <c r="Q21" i="39"/>
  <c r="P21" i="39"/>
  <c r="P23" i="39"/>
  <c r="Q23" i="39"/>
  <c r="Q25" i="39"/>
  <c r="P25" i="39"/>
  <c r="Q27" i="39"/>
  <c r="P27" i="39"/>
  <c r="P29" i="39"/>
  <c r="Q29" i="39"/>
  <c r="Q31" i="39"/>
  <c r="P31" i="39"/>
  <c r="Q33" i="39"/>
  <c r="P33" i="39"/>
  <c r="P35" i="39"/>
  <c r="Q35" i="39"/>
  <c r="P37" i="39"/>
  <c r="Q37" i="39"/>
  <c r="Q39" i="39"/>
  <c r="P39" i="39"/>
  <c r="P41" i="39"/>
  <c r="Q41" i="39"/>
  <c r="Q43" i="39"/>
  <c r="P43" i="39"/>
  <c r="Q45" i="39"/>
  <c r="P45" i="39"/>
  <c r="P47" i="39"/>
  <c r="Q47" i="39"/>
  <c r="Q49" i="39"/>
  <c r="P49" i="39"/>
  <c r="Q51" i="39"/>
  <c r="P51" i="39"/>
  <c r="I40" i="37"/>
  <c r="H40" i="37"/>
  <c r="I32" i="37"/>
  <c r="H32" i="37"/>
  <c r="I34" i="37"/>
  <c r="H34" i="37"/>
  <c r="I36" i="37"/>
  <c r="H36" i="37"/>
  <c r="I31" i="37"/>
  <c r="H31" i="37"/>
  <c r="I35" i="37"/>
  <c r="H35" i="37"/>
  <c r="I39" i="37"/>
  <c r="H39" i="37"/>
  <c r="I33" i="37"/>
  <c r="H33" i="37"/>
  <c r="I37" i="37"/>
  <c r="H37" i="37"/>
  <c r="D30" i="35"/>
  <c r="F30" i="35"/>
  <c r="D52" i="35"/>
  <c r="D96" i="35"/>
  <c r="F96" i="35"/>
  <c r="N65" i="35"/>
  <c r="N59" i="35"/>
  <c r="N53" i="35"/>
  <c r="N60" i="35"/>
  <c r="N54" i="35"/>
  <c r="N62" i="35"/>
  <c r="N56" i="35"/>
  <c r="N63" i="35"/>
  <c r="N57" i="35"/>
  <c r="N52" i="35"/>
  <c r="N55" i="35"/>
  <c r="N58" i="35"/>
  <c r="N61" i="35"/>
  <c r="N64" i="35"/>
  <c r="N84" i="35"/>
  <c r="N85" i="35"/>
  <c r="N81" i="35"/>
  <c r="N82" i="35"/>
  <c r="N76" i="35"/>
  <c r="N78" i="35"/>
  <c r="N86" i="35"/>
  <c r="N79" i="35"/>
  <c r="N74" i="35"/>
  <c r="N77" i="35"/>
  <c r="N80" i="35"/>
  <c r="N83" i="35"/>
  <c r="M109" i="35"/>
  <c r="N109" i="35" s="1"/>
  <c r="N97" i="35"/>
  <c r="N108" i="33"/>
  <c r="N107" i="33"/>
  <c r="N106" i="33"/>
  <c r="N105" i="33"/>
  <c r="N104" i="33"/>
  <c r="N103" i="33"/>
  <c r="N102" i="33"/>
  <c r="N101" i="33"/>
  <c r="N100" i="33"/>
  <c r="N99" i="33"/>
  <c r="N98" i="33"/>
  <c r="N97" i="33"/>
  <c r="N64" i="33"/>
  <c r="N63" i="33"/>
  <c r="N62" i="33"/>
  <c r="N61" i="33"/>
  <c r="N60" i="33"/>
  <c r="N59" i="33"/>
  <c r="N58" i="33"/>
  <c r="N57" i="33"/>
  <c r="N56" i="33"/>
  <c r="N55" i="33"/>
  <c r="N54" i="33"/>
  <c r="N53" i="33"/>
  <c r="N30" i="33"/>
  <c r="N35" i="33"/>
  <c r="N85" i="33"/>
  <c r="N83" i="33"/>
  <c r="N81" i="33"/>
  <c r="N79" i="33"/>
  <c r="N77" i="33"/>
  <c r="N75" i="33"/>
  <c r="N31" i="33"/>
  <c r="N42" i="33"/>
  <c r="N40" i="33"/>
  <c r="N38" i="33"/>
  <c r="N36" i="33"/>
  <c r="N32" i="33"/>
  <c r="N33" i="33"/>
  <c r="N82" i="33"/>
  <c r="N76" i="33"/>
  <c r="N41" i="33"/>
  <c r="N86" i="33"/>
  <c r="N80" i="33"/>
  <c r="N34" i="33"/>
  <c r="N39" i="33"/>
  <c r="N84" i="33"/>
  <c r="N37" i="33"/>
  <c r="N78" i="33"/>
  <c r="M123" i="30"/>
  <c r="L123" i="30"/>
  <c r="J123" i="30"/>
  <c r="K123" i="30"/>
  <c r="I123" i="30"/>
  <c r="M72" i="30"/>
  <c r="L72" i="30"/>
  <c r="K72" i="30"/>
  <c r="J72" i="30"/>
  <c r="I72" i="30"/>
  <c r="M53" i="30"/>
  <c r="L53" i="30"/>
  <c r="K53" i="30"/>
  <c r="J53" i="30"/>
  <c r="I53" i="30"/>
  <c r="M33" i="30"/>
  <c r="L33" i="30"/>
  <c r="K33" i="30"/>
  <c r="J33" i="30"/>
  <c r="I33" i="30"/>
  <c r="M14" i="30"/>
  <c r="L14" i="30"/>
  <c r="K14" i="30"/>
  <c r="J14" i="30"/>
  <c r="I14" i="30"/>
  <c r="K159" i="29"/>
  <c r="J159" i="29"/>
  <c r="I159" i="29"/>
  <c r="K157" i="29"/>
  <c r="J157" i="29"/>
  <c r="I157" i="29"/>
  <c r="K155" i="29"/>
  <c r="J155" i="29"/>
  <c r="I155" i="29"/>
  <c r="K153" i="29"/>
  <c r="J153" i="29"/>
  <c r="I153" i="29"/>
  <c r="K151" i="29"/>
  <c r="J151" i="29"/>
  <c r="I151" i="29"/>
  <c r="K149" i="29"/>
  <c r="J149" i="29"/>
  <c r="I149" i="29"/>
  <c r="K144" i="29"/>
  <c r="J144" i="29"/>
  <c r="I144" i="29"/>
  <c r="K142" i="29"/>
  <c r="J142" i="29"/>
  <c r="I142" i="29"/>
  <c r="K140" i="29"/>
  <c r="J140" i="29"/>
  <c r="I140" i="29"/>
  <c r="K138" i="29"/>
  <c r="J138" i="29"/>
  <c r="H146" i="29"/>
  <c r="I138" i="29"/>
  <c r="K136" i="29"/>
  <c r="J136" i="29"/>
  <c r="I136" i="29"/>
  <c r="K134" i="29"/>
  <c r="J134" i="29"/>
  <c r="I134" i="29"/>
  <c r="K131" i="29"/>
  <c r="J131" i="29"/>
  <c r="I131" i="29"/>
  <c r="K129" i="29"/>
  <c r="J129" i="29"/>
  <c r="I129" i="29"/>
  <c r="K127" i="29"/>
  <c r="J127" i="29"/>
  <c r="I127" i="29"/>
  <c r="K125" i="29"/>
  <c r="J125" i="29"/>
  <c r="I125" i="29"/>
  <c r="K123" i="29"/>
  <c r="J123" i="29"/>
  <c r="I123" i="29"/>
  <c r="K121" i="29"/>
  <c r="J121" i="29"/>
  <c r="I121" i="29"/>
  <c r="K116" i="29"/>
  <c r="J116" i="29"/>
  <c r="I116" i="29"/>
  <c r="K137" i="28"/>
  <c r="J137" i="28"/>
  <c r="I137" i="28"/>
  <c r="K135" i="28"/>
  <c r="J135" i="28"/>
  <c r="I135" i="28"/>
  <c r="K130" i="28"/>
  <c r="J130" i="28"/>
  <c r="I130" i="28"/>
  <c r="K128" i="28"/>
  <c r="J128" i="28"/>
  <c r="I128" i="28"/>
  <c r="K126" i="28"/>
  <c r="J126" i="28"/>
  <c r="I126" i="28"/>
  <c r="H132" i="28"/>
  <c r="K124" i="28"/>
  <c r="J124" i="28"/>
  <c r="I124" i="28"/>
  <c r="K122" i="28"/>
  <c r="J122" i="28"/>
  <c r="I122" i="28"/>
  <c r="K120" i="28"/>
  <c r="J120" i="28"/>
  <c r="I120" i="28"/>
  <c r="K117" i="28"/>
  <c r="J117" i="28"/>
  <c r="I117" i="28"/>
  <c r="K115" i="28"/>
  <c r="J115" i="28"/>
  <c r="I115" i="28"/>
  <c r="K113" i="28"/>
  <c r="J113" i="28"/>
  <c r="I113" i="28"/>
  <c r="K111" i="28"/>
  <c r="J111" i="28"/>
  <c r="I111" i="28"/>
  <c r="K109" i="28"/>
  <c r="J109" i="28"/>
  <c r="I109" i="28"/>
  <c r="K107" i="28"/>
  <c r="J107" i="28"/>
  <c r="I107" i="28"/>
  <c r="K102" i="28"/>
  <c r="J102" i="28"/>
  <c r="I102" i="28"/>
  <c r="K100" i="28"/>
  <c r="J100" i="28"/>
  <c r="I100" i="28"/>
  <c r="K98" i="28"/>
  <c r="J98" i="28"/>
  <c r="I98" i="28"/>
  <c r="H104" i="28"/>
  <c r="K96" i="28"/>
  <c r="J96" i="28"/>
  <c r="I96" i="28"/>
  <c r="K94" i="28"/>
  <c r="J94" i="28"/>
  <c r="I94" i="28"/>
  <c r="K92" i="28"/>
  <c r="J92" i="28"/>
  <c r="I92" i="28"/>
  <c r="K89" i="28"/>
  <c r="J89" i="28"/>
  <c r="I89" i="28"/>
  <c r="K87" i="28"/>
  <c r="J87" i="28"/>
  <c r="I87" i="28"/>
  <c r="K85" i="28"/>
  <c r="J85" i="28"/>
  <c r="I85" i="28"/>
  <c r="K83" i="28"/>
  <c r="J83" i="28"/>
  <c r="I83" i="28"/>
  <c r="K81" i="28"/>
  <c r="J81" i="28"/>
  <c r="I81" i="28"/>
  <c r="K79" i="28"/>
  <c r="J79" i="28"/>
  <c r="I79" i="28"/>
  <c r="K74" i="28"/>
  <c r="J74" i="28"/>
  <c r="I74" i="28"/>
  <c r="K72" i="28"/>
  <c r="J72" i="28"/>
  <c r="I72" i="28"/>
  <c r="K70" i="28"/>
  <c r="J70" i="28"/>
  <c r="I70" i="28"/>
  <c r="H76" i="28"/>
  <c r="K68" i="28"/>
  <c r="J68" i="28"/>
  <c r="I68" i="28"/>
  <c r="K66" i="28"/>
  <c r="J66" i="28"/>
  <c r="I66" i="28"/>
  <c r="K64" i="28"/>
  <c r="J64" i="28"/>
  <c r="I64" i="28"/>
  <c r="K61" i="28"/>
  <c r="J61" i="28"/>
  <c r="I61" i="28"/>
  <c r="K59" i="28"/>
  <c r="J59" i="28"/>
  <c r="I59" i="28"/>
  <c r="K57" i="28"/>
  <c r="J57" i="28"/>
  <c r="I57" i="28"/>
  <c r="K55" i="28"/>
  <c r="J55" i="28"/>
  <c r="I55" i="28"/>
  <c r="K53" i="28"/>
  <c r="J53" i="28"/>
  <c r="I53" i="28"/>
  <c r="K51" i="28"/>
  <c r="J51" i="28"/>
  <c r="I51" i="28"/>
  <c r="K46" i="28"/>
  <c r="J46" i="28"/>
  <c r="I46" i="28"/>
  <c r="K44" i="28"/>
  <c r="J44" i="28"/>
  <c r="I44" i="28"/>
  <c r="K42" i="28"/>
  <c r="J42" i="28"/>
  <c r="I42" i="28"/>
  <c r="H48" i="28"/>
  <c r="K40" i="28"/>
  <c r="J40" i="28"/>
  <c r="I40" i="28"/>
  <c r="K38" i="28"/>
  <c r="J38" i="28"/>
  <c r="I38" i="28"/>
  <c r="K36" i="28"/>
  <c r="J36" i="28"/>
  <c r="I36" i="28"/>
  <c r="K33" i="28"/>
  <c r="J33" i="28"/>
  <c r="I33" i="28"/>
  <c r="K31" i="28"/>
  <c r="J31" i="28"/>
  <c r="I31" i="28"/>
  <c r="K29" i="28"/>
  <c r="J29" i="28"/>
  <c r="I29" i="28"/>
  <c r="K27" i="28"/>
  <c r="J27" i="28"/>
  <c r="I27" i="28"/>
  <c r="K25" i="28"/>
  <c r="J25" i="28"/>
  <c r="I25" i="28"/>
  <c r="K23" i="28"/>
  <c r="J23" i="28"/>
  <c r="I23" i="28"/>
  <c r="K18" i="28"/>
  <c r="J18" i="28"/>
  <c r="I18" i="28"/>
  <c r="K16" i="28"/>
  <c r="J16" i="28"/>
  <c r="I16" i="28"/>
  <c r="K14" i="28"/>
  <c r="J14" i="28"/>
  <c r="I14" i="28"/>
  <c r="H20" i="28"/>
  <c r="K12" i="28"/>
  <c r="J12" i="28"/>
  <c r="I12" i="28"/>
  <c r="K10" i="28"/>
  <c r="J10" i="28"/>
  <c r="I10" i="28"/>
  <c r="K8" i="28"/>
  <c r="J8" i="28"/>
  <c r="I8" i="28"/>
  <c r="L122" i="30"/>
  <c r="K122" i="30"/>
  <c r="I122" i="30"/>
  <c r="M122" i="30"/>
  <c r="J122" i="30"/>
  <c r="K88" i="30"/>
  <c r="M88" i="30"/>
  <c r="L88" i="30"/>
  <c r="J88" i="30"/>
  <c r="I88" i="30"/>
  <c r="I86" i="30"/>
  <c r="M86" i="30"/>
  <c r="L86" i="30"/>
  <c r="K86" i="30"/>
  <c r="J86" i="30"/>
  <c r="L65" i="30"/>
  <c r="K65" i="30"/>
  <c r="J65" i="30"/>
  <c r="I65" i="30"/>
  <c r="M65" i="30"/>
  <c r="L45" i="30"/>
  <c r="K45" i="30"/>
  <c r="J45" i="30"/>
  <c r="I45" i="30"/>
  <c r="M45" i="30"/>
  <c r="H34" i="30"/>
  <c r="L26" i="30"/>
  <c r="K26" i="30"/>
  <c r="J26" i="30"/>
  <c r="I26" i="30"/>
  <c r="M26" i="30"/>
  <c r="K12" i="30"/>
  <c r="J12" i="30"/>
  <c r="I12" i="30"/>
  <c r="L12" i="30"/>
  <c r="H20" i="30"/>
  <c r="M12" i="30"/>
  <c r="K18" i="30"/>
  <c r="J18" i="30"/>
  <c r="I18" i="30"/>
  <c r="M18" i="30"/>
  <c r="L18" i="30"/>
  <c r="K25" i="30"/>
  <c r="J25" i="30"/>
  <c r="I25" i="30"/>
  <c r="M25" i="30"/>
  <c r="L25" i="30"/>
  <c r="K31" i="30"/>
  <c r="J31" i="30"/>
  <c r="I31" i="30"/>
  <c r="L31" i="30"/>
  <c r="M31" i="30"/>
  <c r="K38" i="30"/>
  <c r="J38" i="30"/>
  <c r="I38" i="30"/>
  <c r="M38" i="30"/>
  <c r="L38" i="30"/>
  <c r="K44" i="30"/>
  <c r="J44" i="30"/>
  <c r="I44" i="30"/>
  <c r="M44" i="30"/>
  <c r="L44" i="30"/>
  <c r="K51" i="30"/>
  <c r="J51" i="30"/>
  <c r="I51" i="30"/>
  <c r="L51" i="30"/>
  <c r="M51" i="30"/>
  <c r="K57" i="30"/>
  <c r="J57" i="30"/>
  <c r="I57" i="30"/>
  <c r="M57" i="30"/>
  <c r="L57" i="30"/>
  <c r="K64" i="30"/>
  <c r="J64" i="30"/>
  <c r="I64" i="30"/>
  <c r="M64" i="30"/>
  <c r="L64" i="30"/>
  <c r="K70" i="30"/>
  <c r="J70" i="30"/>
  <c r="I70" i="30"/>
  <c r="L70" i="30"/>
  <c r="M70" i="30"/>
  <c r="K83" i="30"/>
  <c r="J83" i="30"/>
  <c r="I83" i="30"/>
  <c r="M83" i="30"/>
  <c r="L83" i="30"/>
  <c r="I93" i="30"/>
  <c r="L93" i="30"/>
  <c r="K93" i="30"/>
  <c r="J93" i="30"/>
  <c r="M93" i="30"/>
  <c r="K95" i="30"/>
  <c r="L95" i="30"/>
  <c r="J95" i="30"/>
  <c r="I95" i="30"/>
  <c r="M95" i="30"/>
  <c r="M97" i="30"/>
  <c r="K97" i="30"/>
  <c r="J97" i="30"/>
  <c r="I97" i="30"/>
  <c r="L97" i="30"/>
  <c r="J107" i="30"/>
  <c r="I107" i="30"/>
  <c r="M107" i="30"/>
  <c r="L107" i="30"/>
  <c r="K107" i="30"/>
  <c r="J120" i="30"/>
  <c r="I120" i="30"/>
  <c r="M120" i="30"/>
  <c r="L120" i="30"/>
  <c r="K120" i="30"/>
  <c r="J145" i="30"/>
  <c r="I145" i="30"/>
  <c r="M145" i="30"/>
  <c r="L145" i="30"/>
  <c r="K145" i="30"/>
  <c r="J158" i="30"/>
  <c r="I158" i="30"/>
  <c r="M158" i="30"/>
  <c r="L158" i="30"/>
  <c r="K158" i="30"/>
  <c r="J11" i="30"/>
  <c r="I11" i="30"/>
  <c r="M11" i="30"/>
  <c r="L11" i="30"/>
  <c r="K11" i="30"/>
  <c r="J17" i="30"/>
  <c r="I17" i="30"/>
  <c r="M17" i="30"/>
  <c r="K17" i="30"/>
  <c r="L17" i="30"/>
  <c r="J24" i="30"/>
  <c r="I24" i="30"/>
  <c r="M24" i="30"/>
  <c r="L24" i="30"/>
  <c r="K24" i="30"/>
  <c r="J30" i="30"/>
  <c r="I30" i="30"/>
  <c r="M30" i="30"/>
  <c r="L30" i="30"/>
  <c r="K30" i="30"/>
  <c r="J37" i="30"/>
  <c r="I37" i="30"/>
  <c r="M37" i="30"/>
  <c r="K37" i="30"/>
  <c r="L37" i="30"/>
  <c r="J43" i="30"/>
  <c r="I43" i="30"/>
  <c r="M43" i="30"/>
  <c r="L43" i="30"/>
  <c r="K43" i="30"/>
  <c r="J50" i="30"/>
  <c r="I50" i="30"/>
  <c r="M50" i="30"/>
  <c r="L50" i="30"/>
  <c r="K50" i="30"/>
  <c r="J56" i="30"/>
  <c r="I56" i="30"/>
  <c r="M56" i="30"/>
  <c r="K56" i="30"/>
  <c r="L56" i="30"/>
  <c r="J69" i="30"/>
  <c r="I69" i="30"/>
  <c r="M69" i="30"/>
  <c r="L69" i="30"/>
  <c r="K69" i="30"/>
  <c r="J75" i="30"/>
  <c r="I75" i="30"/>
  <c r="M75" i="30"/>
  <c r="K75" i="30"/>
  <c r="L75" i="30"/>
  <c r="J82" i="30"/>
  <c r="I82" i="30"/>
  <c r="M82" i="30"/>
  <c r="H90" i="30"/>
  <c r="L82" i="30"/>
  <c r="K82" i="30"/>
  <c r="I99" i="30"/>
  <c r="K99" i="30"/>
  <c r="J99" i="30"/>
  <c r="L99" i="30"/>
  <c r="M99" i="30"/>
  <c r="K101" i="30"/>
  <c r="J101" i="30"/>
  <c r="I101" i="30"/>
  <c r="L101" i="30"/>
  <c r="M101" i="30"/>
  <c r="M103" i="30"/>
  <c r="L103" i="30"/>
  <c r="J103" i="30"/>
  <c r="K103" i="30"/>
  <c r="I103" i="30"/>
  <c r="M116" i="30"/>
  <c r="L116" i="30"/>
  <c r="J116" i="30"/>
  <c r="K116" i="30"/>
  <c r="I116" i="30"/>
  <c r="M129" i="30"/>
  <c r="L129" i="30"/>
  <c r="J129" i="30"/>
  <c r="K129" i="30"/>
  <c r="I129" i="30"/>
  <c r="M142" i="30"/>
  <c r="L142" i="30"/>
  <c r="J142" i="30"/>
  <c r="K142" i="30"/>
  <c r="I142" i="30"/>
  <c r="M155" i="30"/>
  <c r="L155" i="30"/>
  <c r="J155" i="30"/>
  <c r="K155" i="30"/>
  <c r="I155" i="30"/>
  <c r="I10" i="30"/>
  <c r="M10" i="30"/>
  <c r="L10" i="30"/>
  <c r="K10" i="30"/>
  <c r="J10" i="30"/>
  <c r="I16" i="30"/>
  <c r="M16" i="30"/>
  <c r="L16" i="30"/>
  <c r="K16" i="30"/>
  <c r="J16" i="30"/>
  <c r="I23" i="30"/>
  <c r="M23" i="30"/>
  <c r="L23" i="30"/>
  <c r="J23" i="30"/>
  <c r="K23" i="30"/>
  <c r="I29" i="30"/>
  <c r="M29" i="30"/>
  <c r="L29" i="30"/>
  <c r="K29" i="30"/>
  <c r="J29" i="30"/>
  <c r="I36" i="30"/>
  <c r="M36" i="30"/>
  <c r="L36" i="30"/>
  <c r="K36" i="30"/>
  <c r="J36" i="30"/>
  <c r="I42" i="30"/>
  <c r="M42" i="30"/>
  <c r="L42" i="30"/>
  <c r="J42" i="30"/>
  <c r="K42" i="30"/>
  <c r="I55" i="30"/>
  <c r="M55" i="30"/>
  <c r="L55" i="30"/>
  <c r="K55" i="30"/>
  <c r="J55" i="30"/>
  <c r="I61" i="30"/>
  <c r="M61" i="30"/>
  <c r="L61" i="30"/>
  <c r="J61" i="30"/>
  <c r="K61" i="30"/>
  <c r="I68" i="30"/>
  <c r="M68" i="30"/>
  <c r="H76" i="30"/>
  <c r="L68" i="30"/>
  <c r="K68" i="30"/>
  <c r="J68" i="30"/>
  <c r="I74" i="30"/>
  <c r="M74" i="30"/>
  <c r="L74" i="30"/>
  <c r="K74" i="30"/>
  <c r="J74" i="30"/>
  <c r="I81" i="30"/>
  <c r="M81" i="30"/>
  <c r="L81" i="30"/>
  <c r="J81" i="30"/>
  <c r="K81" i="30"/>
  <c r="J87" i="30"/>
  <c r="I87" i="30"/>
  <c r="M87" i="30"/>
  <c r="L87" i="30"/>
  <c r="K87" i="30"/>
  <c r="L89" i="30"/>
  <c r="I89" i="30"/>
  <c r="M89" i="30"/>
  <c r="K89" i="30"/>
  <c r="J89" i="30"/>
  <c r="L102" i="30"/>
  <c r="K102" i="30"/>
  <c r="I102" i="30"/>
  <c r="J102" i="30"/>
  <c r="M102" i="30"/>
  <c r="L115" i="30"/>
  <c r="K115" i="30"/>
  <c r="I115" i="30"/>
  <c r="J115" i="30"/>
  <c r="M115" i="30"/>
  <c r="L128" i="30"/>
  <c r="K128" i="30"/>
  <c r="I128" i="30"/>
  <c r="J128" i="30"/>
  <c r="M128" i="30"/>
  <c r="L141" i="30"/>
  <c r="K141" i="30"/>
  <c r="I141" i="30"/>
  <c r="J141" i="30"/>
  <c r="M141" i="30"/>
  <c r="L154" i="30"/>
  <c r="K154" i="30"/>
  <c r="I154" i="30"/>
  <c r="J154" i="30"/>
  <c r="M154" i="30"/>
  <c r="M9" i="30"/>
  <c r="L9" i="30"/>
  <c r="K9" i="30"/>
  <c r="I9" i="30"/>
  <c r="J9" i="30"/>
  <c r="M15" i="30"/>
  <c r="L15" i="30"/>
  <c r="K15" i="30"/>
  <c r="J15" i="30"/>
  <c r="I15" i="30"/>
  <c r="M22" i="30"/>
  <c r="L22" i="30"/>
  <c r="K22" i="30"/>
  <c r="J22" i="30"/>
  <c r="I22" i="30"/>
  <c r="M28" i="30"/>
  <c r="L28" i="30"/>
  <c r="K28" i="30"/>
  <c r="I28" i="30"/>
  <c r="J28" i="30"/>
  <c r="M41" i="30"/>
  <c r="L41" i="30"/>
  <c r="K41" i="30"/>
  <c r="J41" i="30"/>
  <c r="I41" i="30"/>
  <c r="M47" i="30"/>
  <c r="L47" i="30"/>
  <c r="K47" i="30"/>
  <c r="I47" i="30"/>
  <c r="J47" i="30"/>
  <c r="M54" i="30"/>
  <c r="H62" i="30"/>
  <c r="L54" i="30"/>
  <c r="K54" i="30"/>
  <c r="J54" i="30"/>
  <c r="I54" i="30"/>
  <c r="M60" i="30"/>
  <c r="L60" i="30"/>
  <c r="K60" i="30"/>
  <c r="J60" i="30"/>
  <c r="I60" i="30"/>
  <c r="M67" i="30"/>
  <c r="L67" i="30"/>
  <c r="K67" i="30"/>
  <c r="I67" i="30"/>
  <c r="J67" i="30"/>
  <c r="M73" i="30"/>
  <c r="L73" i="30"/>
  <c r="K73" i="30"/>
  <c r="J73" i="30"/>
  <c r="I73" i="30"/>
  <c r="M80" i="30"/>
  <c r="L80" i="30"/>
  <c r="K80" i="30"/>
  <c r="J80" i="30"/>
  <c r="I80" i="30"/>
  <c r="J94" i="30"/>
  <c r="M94" i="30"/>
  <c r="L94" i="30"/>
  <c r="K94" i="30"/>
  <c r="I94" i="30"/>
  <c r="H104" i="30"/>
  <c r="L96" i="30"/>
  <c r="M96" i="30"/>
  <c r="K96" i="30"/>
  <c r="J96" i="30"/>
  <c r="I96" i="30"/>
  <c r="J113" i="30"/>
  <c r="I113" i="30"/>
  <c r="M113" i="30"/>
  <c r="L113" i="30"/>
  <c r="K113" i="30"/>
  <c r="J126" i="30"/>
  <c r="I126" i="30"/>
  <c r="M126" i="30"/>
  <c r="K126" i="30"/>
  <c r="L126" i="30"/>
  <c r="J139" i="30"/>
  <c r="I139" i="30"/>
  <c r="M139" i="30"/>
  <c r="L139" i="30"/>
  <c r="K139" i="30"/>
  <c r="J152" i="30"/>
  <c r="I152" i="30"/>
  <c r="M152" i="30"/>
  <c r="H160" i="30"/>
  <c r="L152" i="30"/>
  <c r="K152" i="30"/>
  <c r="K108" i="30"/>
  <c r="J108" i="30"/>
  <c r="M108" i="30"/>
  <c r="L108" i="30"/>
  <c r="I108" i="30"/>
  <c r="K114" i="30"/>
  <c r="J114" i="30"/>
  <c r="I114" i="30"/>
  <c r="M114" i="30"/>
  <c r="L114" i="30"/>
  <c r="K121" i="30"/>
  <c r="J121" i="30"/>
  <c r="M121" i="30"/>
  <c r="L121" i="30"/>
  <c r="I121" i="30"/>
  <c r="K127" i="30"/>
  <c r="J127" i="30"/>
  <c r="I127" i="30"/>
  <c r="M127" i="30"/>
  <c r="L127" i="30"/>
  <c r="K134" i="30"/>
  <c r="J134" i="30"/>
  <c r="M134" i="30"/>
  <c r="L134" i="30"/>
  <c r="I134" i="30"/>
  <c r="K140" i="30"/>
  <c r="J140" i="30"/>
  <c r="I140" i="30"/>
  <c r="L140" i="30"/>
  <c r="M140" i="30"/>
  <c r="K153" i="30"/>
  <c r="J153" i="30"/>
  <c r="I153" i="30"/>
  <c r="M153" i="30"/>
  <c r="L153" i="30"/>
  <c r="K159" i="30"/>
  <c r="J159" i="30"/>
  <c r="M159" i="30"/>
  <c r="L159" i="30"/>
  <c r="I159" i="30"/>
  <c r="I106" i="30"/>
  <c r="L106" i="30"/>
  <c r="M106" i="30"/>
  <c r="K106" i="30"/>
  <c r="J106" i="30"/>
  <c r="I112" i="30"/>
  <c r="L112" i="30"/>
  <c r="M112" i="30"/>
  <c r="J112" i="30"/>
  <c r="K112" i="30"/>
  <c r="I125" i="30"/>
  <c r="L125" i="30"/>
  <c r="M125" i="30"/>
  <c r="K125" i="30"/>
  <c r="J125" i="30"/>
  <c r="I131" i="30"/>
  <c r="L131" i="30"/>
  <c r="M131" i="30"/>
  <c r="K131" i="30"/>
  <c r="J131" i="30"/>
  <c r="I138" i="30"/>
  <c r="H146" i="30"/>
  <c r="L138" i="30"/>
  <c r="M138" i="30"/>
  <c r="K138" i="30"/>
  <c r="J138" i="30"/>
  <c r="I144" i="30"/>
  <c r="L144" i="30"/>
  <c r="M144" i="30"/>
  <c r="K144" i="30"/>
  <c r="J144" i="30"/>
  <c r="I151" i="30"/>
  <c r="L151" i="30"/>
  <c r="M151" i="30"/>
  <c r="J151" i="30"/>
  <c r="K151" i="30"/>
  <c r="I157" i="30"/>
  <c r="L157" i="30"/>
  <c r="M157" i="30"/>
  <c r="K157" i="30"/>
  <c r="J157" i="30"/>
  <c r="J85" i="30"/>
  <c r="I85" i="30"/>
  <c r="M85" i="30"/>
  <c r="L85" i="30"/>
  <c r="K85" i="30"/>
  <c r="I92" i="30"/>
  <c r="M92" i="30"/>
  <c r="L92" i="30"/>
  <c r="K92" i="30"/>
  <c r="J92" i="30"/>
  <c r="M98" i="30"/>
  <c r="L98" i="30"/>
  <c r="K98" i="30"/>
  <c r="J98" i="30"/>
  <c r="I98" i="30"/>
  <c r="M111" i="30"/>
  <c r="K111" i="30"/>
  <c r="L111" i="30"/>
  <c r="J111" i="30"/>
  <c r="I111" i="30"/>
  <c r="M117" i="30"/>
  <c r="K117" i="30"/>
  <c r="L117" i="30"/>
  <c r="J117" i="30"/>
  <c r="I117" i="30"/>
  <c r="M124" i="30"/>
  <c r="K124" i="30"/>
  <c r="H132" i="30"/>
  <c r="L124" i="30"/>
  <c r="J124" i="30"/>
  <c r="I124" i="30"/>
  <c r="M130" i="30"/>
  <c r="K130" i="30"/>
  <c r="L130" i="30"/>
  <c r="J130" i="30"/>
  <c r="I130" i="30"/>
  <c r="M137" i="30"/>
  <c r="K137" i="30"/>
  <c r="L137" i="30"/>
  <c r="I137" i="30"/>
  <c r="J137" i="30"/>
  <c r="M143" i="30"/>
  <c r="K143" i="30"/>
  <c r="L143" i="30"/>
  <c r="J143" i="30"/>
  <c r="I143" i="30"/>
  <c r="M150" i="30"/>
  <c r="K150" i="30"/>
  <c r="L150" i="30"/>
  <c r="J150" i="30"/>
  <c r="I150" i="30"/>
  <c r="M156" i="30"/>
  <c r="K156" i="30"/>
  <c r="L156" i="30"/>
  <c r="J156" i="30"/>
  <c r="I156" i="30"/>
  <c r="K114" i="29"/>
  <c r="J114" i="29"/>
  <c r="I114" i="29"/>
  <c r="K110" i="29"/>
  <c r="J110" i="29"/>
  <c r="H118" i="29"/>
  <c r="I110" i="29"/>
  <c r="K106" i="29"/>
  <c r="J106" i="29"/>
  <c r="I106" i="29"/>
  <c r="K101" i="29"/>
  <c r="J101" i="29"/>
  <c r="I101" i="29"/>
  <c r="K97" i="29"/>
  <c r="J97" i="29"/>
  <c r="I97" i="29"/>
  <c r="K93" i="29"/>
  <c r="J93" i="29"/>
  <c r="I93" i="29"/>
  <c r="K88" i="29"/>
  <c r="J88" i="29"/>
  <c r="I88" i="29"/>
  <c r="K84" i="29"/>
  <c r="J84" i="29"/>
  <c r="I84" i="29"/>
  <c r="K80" i="29"/>
  <c r="J80" i="29"/>
  <c r="I80" i="29"/>
  <c r="K75" i="29"/>
  <c r="J75" i="29"/>
  <c r="I75" i="29"/>
  <c r="K71" i="29"/>
  <c r="J71" i="29"/>
  <c r="I71" i="29"/>
  <c r="K67" i="29"/>
  <c r="J67" i="29"/>
  <c r="I67" i="29"/>
  <c r="K58" i="29"/>
  <c r="J58" i="29"/>
  <c r="I58" i="29"/>
  <c r="K56" i="29"/>
  <c r="I56" i="29"/>
  <c r="J56" i="29"/>
  <c r="K54" i="29"/>
  <c r="I54" i="29"/>
  <c r="H62" i="29"/>
  <c r="J54" i="29"/>
  <c r="K52" i="29"/>
  <c r="I52" i="29"/>
  <c r="J52" i="29"/>
  <c r="K50" i="29"/>
  <c r="I50" i="29"/>
  <c r="J50" i="29"/>
  <c r="K47" i="29"/>
  <c r="I47" i="29"/>
  <c r="J47" i="29"/>
  <c r="K45" i="29"/>
  <c r="I45" i="29"/>
  <c r="J45" i="29"/>
  <c r="K43" i="29"/>
  <c r="I43" i="29"/>
  <c r="J43" i="29"/>
  <c r="K41" i="29"/>
  <c r="I41" i="29"/>
  <c r="J41" i="29"/>
  <c r="K39" i="29"/>
  <c r="I39" i="29"/>
  <c r="J39" i="29"/>
  <c r="K37" i="29"/>
  <c r="I37" i="29"/>
  <c r="J37" i="29"/>
  <c r="K32" i="29"/>
  <c r="I32" i="29"/>
  <c r="J32" i="29"/>
  <c r="K30" i="29"/>
  <c r="I30" i="29"/>
  <c r="J30" i="29"/>
  <c r="K28" i="29"/>
  <c r="I28" i="29"/>
  <c r="J28" i="29"/>
  <c r="K26" i="29"/>
  <c r="I26" i="29"/>
  <c r="H34" i="29"/>
  <c r="J26" i="29"/>
  <c r="K24" i="29"/>
  <c r="I24" i="29"/>
  <c r="J24" i="29"/>
  <c r="K22" i="29"/>
  <c r="I22" i="29"/>
  <c r="J22" i="29"/>
  <c r="K19" i="29"/>
  <c r="I19" i="29"/>
  <c r="J19" i="29"/>
  <c r="K17" i="29"/>
  <c r="I17" i="29"/>
  <c r="J17" i="29"/>
  <c r="K15" i="29"/>
  <c r="I15" i="29"/>
  <c r="J15" i="29"/>
  <c r="K13" i="29"/>
  <c r="I13" i="29"/>
  <c r="J13" i="29"/>
  <c r="K11" i="29"/>
  <c r="I11" i="29"/>
  <c r="J11" i="29"/>
  <c r="K9" i="29"/>
  <c r="I9" i="29"/>
  <c r="J9" i="29"/>
  <c r="J8" i="29"/>
  <c r="I8" i="29"/>
  <c r="K8" i="29"/>
  <c r="J10" i="29"/>
  <c r="I10" i="29"/>
  <c r="K10" i="29"/>
  <c r="J12" i="29"/>
  <c r="H20" i="29"/>
  <c r="I12" i="29"/>
  <c r="K12" i="29"/>
  <c r="J14" i="29"/>
  <c r="I14" i="29"/>
  <c r="K14" i="29"/>
  <c r="J16" i="29"/>
  <c r="I16" i="29"/>
  <c r="K16" i="29"/>
  <c r="J18" i="29"/>
  <c r="I18" i="29"/>
  <c r="K18" i="29"/>
  <c r="J23" i="29"/>
  <c r="I23" i="29"/>
  <c r="K23" i="29"/>
  <c r="J25" i="29"/>
  <c r="I25" i="29"/>
  <c r="K25" i="29"/>
  <c r="J27" i="29"/>
  <c r="I27" i="29"/>
  <c r="K27" i="29"/>
  <c r="J29" i="29"/>
  <c r="I29" i="29"/>
  <c r="K29" i="29"/>
  <c r="J31" i="29"/>
  <c r="I31" i="29"/>
  <c r="K31" i="29"/>
  <c r="J33" i="29"/>
  <c r="I33" i="29"/>
  <c r="K33" i="29"/>
  <c r="J36" i="29"/>
  <c r="I36" i="29"/>
  <c r="K36" i="29"/>
  <c r="J38" i="29"/>
  <c r="I38" i="29"/>
  <c r="K38" i="29"/>
  <c r="J40" i="29"/>
  <c r="H48" i="29"/>
  <c r="I40" i="29"/>
  <c r="K40" i="29"/>
  <c r="J42" i="29"/>
  <c r="I42" i="29"/>
  <c r="K42" i="29"/>
  <c r="J44" i="29"/>
  <c r="I44" i="29"/>
  <c r="K44" i="29"/>
  <c r="J46" i="29"/>
  <c r="I46" i="29"/>
  <c r="K46" i="29"/>
  <c r="J51" i="29"/>
  <c r="I51" i="29"/>
  <c r="K51" i="29"/>
  <c r="J53" i="29"/>
  <c r="I53" i="29"/>
  <c r="K53" i="29"/>
  <c r="J55" i="29"/>
  <c r="I55" i="29"/>
  <c r="K55" i="29"/>
  <c r="J57" i="29"/>
  <c r="I57" i="29"/>
  <c r="K57" i="29"/>
  <c r="J59" i="29"/>
  <c r="K59" i="29"/>
  <c r="I59" i="29"/>
  <c r="J61" i="29"/>
  <c r="K61" i="29"/>
  <c r="I61" i="29"/>
  <c r="J64" i="29"/>
  <c r="K64" i="29"/>
  <c r="I64" i="29"/>
  <c r="J66" i="29"/>
  <c r="K66" i="29"/>
  <c r="I66" i="29"/>
  <c r="J68" i="29"/>
  <c r="H76" i="29"/>
  <c r="K68" i="29"/>
  <c r="I68" i="29"/>
  <c r="J70" i="29"/>
  <c r="K70" i="29"/>
  <c r="I70" i="29"/>
  <c r="J72" i="29"/>
  <c r="K72" i="29"/>
  <c r="I72" i="29"/>
  <c r="J74" i="29"/>
  <c r="K74" i="29"/>
  <c r="I74" i="29"/>
  <c r="J79" i="29"/>
  <c r="K79" i="29"/>
  <c r="I79" i="29"/>
  <c r="J81" i="29"/>
  <c r="K81" i="29"/>
  <c r="I81" i="29"/>
  <c r="J83" i="29"/>
  <c r="K83" i="29"/>
  <c r="I83" i="29"/>
  <c r="J85" i="29"/>
  <c r="K85" i="29"/>
  <c r="I85" i="29"/>
  <c r="J87" i="29"/>
  <c r="K87" i="29"/>
  <c r="I87" i="29"/>
  <c r="J89" i="29"/>
  <c r="K89" i="29"/>
  <c r="I89" i="29"/>
  <c r="J92" i="29"/>
  <c r="K92" i="29"/>
  <c r="I92" i="29"/>
  <c r="J94" i="29"/>
  <c r="K94" i="29"/>
  <c r="I94" i="29"/>
  <c r="J96" i="29"/>
  <c r="H104" i="29"/>
  <c r="K96" i="29"/>
  <c r="I96" i="29"/>
  <c r="J98" i="29"/>
  <c r="K98" i="29"/>
  <c r="I98" i="29"/>
  <c r="J100" i="29"/>
  <c r="K100" i="29"/>
  <c r="I100" i="29"/>
  <c r="J102" i="29"/>
  <c r="K102" i="29"/>
  <c r="I102" i="29"/>
  <c r="J107" i="29"/>
  <c r="K107" i="29"/>
  <c r="I107" i="29"/>
  <c r="J109" i="29"/>
  <c r="K109" i="29"/>
  <c r="I109" i="29"/>
  <c r="J111" i="29"/>
  <c r="K111" i="29"/>
  <c r="I111" i="29"/>
  <c r="J113" i="29"/>
  <c r="K113" i="29"/>
  <c r="I113" i="29"/>
  <c r="J115" i="29"/>
  <c r="I115" i="29"/>
  <c r="K115" i="29"/>
  <c r="J117" i="29"/>
  <c r="I117" i="29"/>
  <c r="K117" i="29"/>
  <c r="J120" i="29"/>
  <c r="I120" i="29"/>
  <c r="K120" i="29"/>
  <c r="J122" i="29"/>
  <c r="I122" i="29"/>
  <c r="K122" i="29"/>
  <c r="J124" i="29"/>
  <c r="I124" i="29"/>
  <c r="H132" i="29"/>
  <c r="K124" i="29"/>
  <c r="J126" i="29"/>
  <c r="I126" i="29"/>
  <c r="K126" i="29"/>
  <c r="J128" i="29"/>
  <c r="I128" i="29"/>
  <c r="K128" i="29"/>
  <c r="J130" i="29"/>
  <c r="I130" i="29"/>
  <c r="K130" i="29"/>
  <c r="J135" i="29"/>
  <c r="I135" i="29"/>
  <c r="K135" i="29"/>
  <c r="J137" i="29"/>
  <c r="I137" i="29"/>
  <c r="K137" i="29"/>
  <c r="J139" i="29"/>
  <c r="I139" i="29"/>
  <c r="K139" i="29"/>
  <c r="J141" i="29"/>
  <c r="I141" i="29"/>
  <c r="K141" i="29"/>
  <c r="J143" i="29"/>
  <c r="I143" i="29"/>
  <c r="K143" i="29"/>
  <c r="J145" i="29"/>
  <c r="I145" i="29"/>
  <c r="K145" i="29"/>
  <c r="J148" i="29"/>
  <c r="I148" i="29"/>
  <c r="K148" i="29"/>
  <c r="J150" i="29"/>
  <c r="I150" i="29"/>
  <c r="K150" i="29"/>
  <c r="J152" i="29"/>
  <c r="I152" i="29"/>
  <c r="H160" i="29"/>
  <c r="K152" i="29"/>
  <c r="J154" i="29"/>
  <c r="I154" i="29"/>
  <c r="K154" i="29"/>
  <c r="J156" i="29"/>
  <c r="I156" i="29"/>
  <c r="K156" i="29"/>
  <c r="J158" i="29"/>
  <c r="I158" i="29"/>
  <c r="K158" i="29"/>
  <c r="L71" i="30"/>
  <c r="K71" i="30"/>
  <c r="J71" i="30"/>
  <c r="I71" i="30"/>
  <c r="M71" i="30"/>
  <c r="L52" i="30"/>
  <c r="K52" i="30"/>
  <c r="J52" i="30"/>
  <c r="I52" i="30"/>
  <c r="M52" i="30"/>
  <c r="L32" i="30"/>
  <c r="K32" i="30"/>
  <c r="J32" i="30"/>
  <c r="I32" i="30"/>
  <c r="M32" i="30"/>
  <c r="L13" i="30"/>
  <c r="K13" i="30"/>
  <c r="J13" i="30"/>
  <c r="I13" i="30"/>
  <c r="M13" i="30"/>
  <c r="K158" i="28"/>
  <c r="I158" i="28"/>
  <c r="J158" i="28"/>
  <c r="K156" i="28"/>
  <c r="I156" i="28"/>
  <c r="J156" i="28"/>
  <c r="K154" i="28"/>
  <c r="I154" i="28"/>
  <c r="J154" i="28"/>
  <c r="K152" i="28"/>
  <c r="I152" i="28"/>
  <c r="H160" i="28"/>
  <c r="J152" i="28"/>
  <c r="K150" i="28"/>
  <c r="I150" i="28"/>
  <c r="J150" i="28"/>
  <c r="K148" i="28"/>
  <c r="I148" i="28"/>
  <c r="J148" i="28"/>
  <c r="K145" i="28"/>
  <c r="I145" i="28"/>
  <c r="J145" i="28"/>
  <c r="K143" i="28"/>
  <c r="I143" i="28"/>
  <c r="J143" i="28"/>
  <c r="K141" i="28"/>
  <c r="I141" i="28"/>
  <c r="J141" i="28"/>
  <c r="K139" i="28"/>
  <c r="I139" i="28"/>
  <c r="J139" i="28"/>
  <c r="K136" i="28"/>
  <c r="J136" i="28"/>
  <c r="I136" i="28"/>
  <c r="K134" i="28"/>
  <c r="J134" i="28"/>
  <c r="I134" i="28"/>
  <c r="K131" i="28"/>
  <c r="J131" i="28"/>
  <c r="I131" i="28"/>
  <c r="K129" i="28"/>
  <c r="J129" i="28"/>
  <c r="I129" i="28"/>
  <c r="K127" i="28"/>
  <c r="J127" i="28"/>
  <c r="I127" i="28"/>
  <c r="K125" i="28"/>
  <c r="J125" i="28"/>
  <c r="I125" i="28"/>
  <c r="K123" i="28"/>
  <c r="J123" i="28"/>
  <c r="I123" i="28"/>
  <c r="K121" i="28"/>
  <c r="J121" i="28"/>
  <c r="I121" i="28"/>
  <c r="K116" i="28"/>
  <c r="J116" i="28"/>
  <c r="I116" i="28"/>
  <c r="K114" i="28"/>
  <c r="J114" i="28"/>
  <c r="I114" i="28"/>
  <c r="K112" i="28"/>
  <c r="J112" i="28"/>
  <c r="I112" i="28"/>
  <c r="K110" i="28"/>
  <c r="J110" i="28"/>
  <c r="H118" i="28"/>
  <c r="I110" i="28"/>
  <c r="K108" i="28"/>
  <c r="J108" i="28"/>
  <c r="I108" i="28"/>
  <c r="K106" i="28"/>
  <c r="J106" i="28"/>
  <c r="I106" i="28"/>
  <c r="K103" i="28"/>
  <c r="J103" i="28"/>
  <c r="I103" i="28"/>
  <c r="K101" i="28"/>
  <c r="J101" i="28"/>
  <c r="I101" i="28"/>
  <c r="K99" i="28"/>
  <c r="J99" i="28"/>
  <c r="I99" i="28"/>
  <c r="K97" i="28"/>
  <c r="J97" i="28"/>
  <c r="I97" i="28"/>
  <c r="K95" i="28"/>
  <c r="J95" i="28"/>
  <c r="I95" i="28"/>
  <c r="K93" i="28"/>
  <c r="J93" i="28"/>
  <c r="I93" i="28"/>
  <c r="K88" i="28"/>
  <c r="J88" i="28"/>
  <c r="I88" i="28"/>
  <c r="K86" i="28"/>
  <c r="J86" i="28"/>
  <c r="I86" i="28"/>
  <c r="K84" i="28"/>
  <c r="J84" i="28"/>
  <c r="I84" i="28"/>
  <c r="K82" i="28"/>
  <c r="J82" i="28"/>
  <c r="H90" i="28"/>
  <c r="I82" i="28"/>
  <c r="K80" i="28"/>
  <c r="J80" i="28"/>
  <c r="I80" i="28"/>
  <c r="K78" i="28"/>
  <c r="J78" i="28"/>
  <c r="I78" i="28"/>
  <c r="K75" i="28"/>
  <c r="J75" i="28"/>
  <c r="I75" i="28"/>
  <c r="K73" i="28"/>
  <c r="J73" i="28"/>
  <c r="I73" i="28"/>
  <c r="K71" i="28"/>
  <c r="J71" i="28"/>
  <c r="I71" i="28"/>
  <c r="K69" i="28"/>
  <c r="J69" i="28"/>
  <c r="I69" i="28"/>
  <c r="K67" i="28"/>
  <c r="J67" i="28"/>
  <c r="I67" i="28"/>
  <c r="K65" i="28"/>
  <c r="J65" i="28"/>
  <c r="I65" i="28"/>
  <c r="K60" i="28"/>
  <c r="J60" i="28"/>
  <c r="I60" i="28"/>
  <c r="K58" i="28"/>
  <c r="J58" i="28"/>
  <c r="I58" i="28"/>
  <c r="K56" i="28"/>
  <c r="J56" i="28"/>
  <c r="I56" i="28"/>
  <c r="K54" i="28"/>
  <c r="J54" i="28"/>
  <c r="H62" i="28"/>
  <c r="I54" i="28"/>
  <c r="K52" i="28"/>
  <c r="J52" i="28"/>
  <c r="I52" i="28"/>
  <c r="K50" i="28"/>
  <c r="J50" i="28"/>
  <c r="I50" i="28"/>
  <c r="K47" i="28"/>
  <c r="J47" i="28"/>
  <c r="I47" i="28"/>
  <c r="K45" i="28"/>
  <c r="J45" i="28"/>
  <c r="I45" i="28"/>
  <c r="K43" i="28"/>
  <c r="J43" i="28"/>
  <c r="I43" i="28"/>
  <c r="K41" i="28"/>
  <c r="J41" i="28"/>
  <c r="I41" i="28"/>
  <c r="K39" i="28"/>
  <c r="J39" i="28"/>
  <c r="I39" i="28"/>
  <c r="K37" i="28"/>
  <c r="J37" i="28"/>
  <c r="I37" i="28"/>
  <c r="K32" i="28"/>
  <c r="J32" i="28"/>
  <c r="I32" i="28"/>
  <c r="K30" i="28"/>
  <c r="J30" i="28"/>
  <c r="I30" i="28"/>
  <c r="K28" i="28"/>
  <c r="J28" i="28"/>
  <c r="I28" i="28"/>
  <c r="K26" i="28"/>
  <c r="J26" i="28"/>
  <c r="H34" i="28"/>
  <c r="I26" i="28"/>
  <c r="K24" i="28"/>
  <c r="J24" i="28"/>
  <c r="I24" i="28"/>
  <c r="K22" i="28"/>
  <c r="J22" i="28"/>
  <c r="I22" i="28"/>
  <c r="K19" i="28"/>
  <c r="J19" i="28"/>
  <c r="I19" i="28"/>
  <c r="K17" i="28"/>
  <c r="J17" i="28"/>
  <c r="I17" i="28"/>
  <c r="K15" i="28"/>
  <c r="J15" i="28"/>
  <c r="I15" i="28"/>
  <c r="K13" i="28"/>
  <c r="J13" i="28"/>
  <c r="I13" i="28"/>
  <c r="K11" i="28"/>
  <c r="J11" i="28"/>
  <c r="I11" i="28"/>
  <c r="K9" i="28"/>
  <c r="J9" i="28"/>
  <c r="I9" i="28"/>
  <c r="H146" i="28"/>
  <c r="K138" i="28"/>
  <c r="I138" i="28"/>
  <c r="J138" i="28"/>
  <c r="K140" i="28"/>
  <c r="I140" i="28"/>
  <c r="J140" i="28"/>
  <c r="K142" i="28"/>
  <c r="I142" i="28"/>
  <c r="J142" i="28"/>
  <c r="K144" i="28"/>
  <c r="I144" i="28"/>
  <c r="J144" i="28"/>
  <c r="K149" i="28"/>
  <c r="I149" i="28"/>
  <c r="J149" i="28"/>
  <c r="K151" i="28"/>
  <c r="I151" i="28"/>
  <c r="J151" i="28"/>
  <c r="K153" i="28"/>
  <c r="I153" i="28"/>
  <c r="J153" i="28"/>
  <c r="K155" i="28"/>
  <c r="I155" i="28"/>
  <c r="J155" i="28"/>
  <c r="K157" i="28"/>
  <c r="I157" i="28"/>
  <c r="J157" i="28"/>
  <c r="K159" i="28"/>
  <c r="I159" i="28"/>
  <c r="J159" i="28"/>
  <c r="M149" i="30"/>
  <c r="L149" i="30"/>
  <c r="J149" i="30"/>
  <c r="K149" i="30"/>
  <c r="I149" i="30"/>
  <c r="M110" i="30"/>
  <c r="H118" i="30"/>
  <c r="L110" i="30"/>
  <c r="J110" i="30"/>
  <c r="K110" i="30"/>
  <c r="I110" i="30"/>
  <c r="J100" i="30"/>
  <c r="M100" i="30"/>
  <c r="L100" i="30"/>
  <c r="K100" i="30"/>
  <c r="I100" i="30"/>
  <c r="M66" i="30"/>
  <c r="L66" i="30"/>
  <c r="K66" i="30"/>
  <c r="J66" i="30"/>
  <c r="I66" i="30"/>
  <c r="M46" i="30"/>
  <c r="L46" i="30"/>
  <c r="K46" i="30"/>
  <c r="J46" i="30"/>
  <c r="I46" i="30"/>
  <c r="M27" i="30"/>
  <c r="L27" i="30"/>
  <c r="K27" i="30"/>
  <c r="J27" i="30"/>
  <c r="I27" i="30"/>
  <c r="M8" i="30"/>
  <c r="L8" i="30"/>
  <c r="K8" i="30"/>
  <c r="J8" i="30"/>
  <c r="I8" i="30"/>
  <c r="K108" i="29"/>
  <c r="J108" i="29"/>
  <c r="I108" i="29"/>
  <c r="K103" i="29"/>
  <c r="J103" i="29"/>
  <c r="I103" i="29"/>
  <c r="K99" i="29"/>
  <c r="J99" i="29"/>
  <c r="I99" i="29"/>
  <c r="K95" i="29"/>
  <c r="J95" i="29"/>
  <c r="I95" i="29"/>
  <c r="K86" i="29"/>
  <c r="J86" i="29"/>
  <c r="I86" i="29"/>
  <c r="K82" i="29"/>
  <c r="J82" i="29"/>
  <c r="I82" i="29"/>
  <c r="H90" i="29"/>
  <c r="K78" i="29"/>
  <c r="J78" i="29"/>
  <c r="I78" i="29"/>
  <c r="K73" i="29"/>
  <c r="J73" i="29"/>
  <c r="I73" i="29"/>
  <c r="K69" i="29"/>
  <c r="J69" i="29"/>
  <c r="I69" i="29"/>
  <c r="K65" i="29"/>
  <c r="J65" i="29"/>
  <c r="I65" i="29"/>
  <c r="K60" i="29"/>
  <c r="J60" i="29"/>
  <c r="I60" i="29"/>
  <c r="L109" i="27"/>
  <c r="L108" i="27"/>
  <c r="L107" i="27"/>
  <c r="L106" i="27"/>
  <c r="L105" i="27"/>
  <c r="L104" i="27"/>
  <c r="L103" i="27"/>
  <c r="L102" i="27"/>
  <c r="L101" i="27"/>
  <c r="L100" i="27"/>
  <c r="L99" i="27"/>
  <c r="L98" i="27"/>
  <c r="L97" i="27"/>
  <c r="L85" i="27"/>
  <c r="L82" i="27"/>
  <c r="L79" i="27"/>
  <c r="L76" i="27"/>
  <c r="L30" i="27"/>
  <c r="L86" i="27"/>
  <c r="L83" i="27"/>
  <c r="L81" i="27"/>
  <c r="L78" i="27"/>
  <c r="L75" i="27"/>
  <c r="L65" i="27"/>
  <c r="L64" i="27"/>
  <c r="L63" i="27"/>
  <c r="L62" i="27"/>
  <c r="L61" i="27"/>
  <c r="L60" i="27"/>
  <c r="L59" i="27"/>
  <c r="L58" i="27"/>
  <c r="L57" i="27"/>
  <c r="L56" i="27"/>
  <c r="L55" i="27"/>
  <c r="L54" i="27"/>
  <c r="L53" i="27"/>
  <c r="L84" i="27"/>
  <c r="L80" i="27"/>
  <c r="L43" i="27"/>
  <c r="L42" i="27"/>
  <c r="L41" i="27"/>
  <c r="L40" i="27"/>
  <c r="L39" i="27"/>
  <c r="L38" i="27"/>
  <c r="L37" i="27"/>
  <c r="L36" i="27"/>
  <c r="L35" i="27"/>
  <c r="L34" i="27"/>
  <c r="L33" i="27"/>
  <c r="L31" i="27"/>
  <c r="L87" i="27"/>
  <c r="L32" i="27"/>
  <c r="L77" i="27"/>
  <c r="N30" i="27"/>
  <c r="I155" i="23"/>
  <c r="K155" i="23"/>
  <c r="J155" i="23"/>
  <c r="J152" i="23"/>
  <c r="K152" i="23"/>
  <c r="H160" i="23"/>
  <c r="I152" i="23"/>
  <c r="J141" i="23"/>
  <c r="K141" i="23"/>
  <c r="I141" i="23"/>
  <c r="I138" i="23"/>
  <c r="J138" i="23"/>
  <c r="H146" i="23"/>
  <c r="K138" i="23"/>
  <c r="I127" i="23"/>
  <c r="K127" i="23"/>
  <c r="J127" i="23"/>
  <c r="I116" i="23"/>
  <c r="K116" i="23"/>
  <c r="J116" i="23"/>
  <c r="J113" i="23"/>
  <c r="K113" i="23"/>
  <c r="I113" i="23"/>
  <c r="J102" i="23"/>
  <c r="K102" i="23"/>
  <c r="I102" i="23"/>
  <c r="I99" i="23"/>
  <c r="J99" i="23"/>
  <c r="K99" i="23"/>
  <c r="J74" i="23"/>
  <c r="K74" i="23"/>
  <c r="I74" i="23"/>
  <c r="I73" i="23"/>
  <c r="K73" i="23"/>
  <c r="J73" i="23"/>
  <c r="K51" i="23"/>
  <c r="J51" i="23"/>
  <c r="I51" i="23"/>
  <c r="I47" i="23"/>
  <c r="K47" i="23"/>
  <c r="J47" i="23"/>
  <c r="K25" i="23"/>
  <c r="J25" i="23"/>
  <c r="I25" i="23"/>
  <c r="J23" i="23"/>
  <c r="K23" i="23"/>
  <c r="I23" i="23"/>
  <c r="I22" i="23"/>
  <c r="K22" i="23"/>
  <c r="J22" i="23"/>
  <c r="I9" i="23"/>
  <c r="K9" i="23"/>
  <c r="J9" i="23"/>
  <c r="J157" i="22"/>
  <c r="L157" i="22"/>
  <c r="K157" i="22"/>
  <c r="L151" i="22"/>
  <c r="K151" i="22"/>
  <c r="J151" i="22"/>
  <c r="L144" i="22"/>
  <c r="K144" i="22"/>
  <c r="J144" i="22"/>
  <c r="L143" i="22"/>
  <c r="J143" i="22"/>
  <c r="K143" i="22"/>
  <c r="L137" i="22"/>
  <c r="K137" i="22"/>
  <c r="J137" i="22"/>
  <c r="L130" i="22"/>
  <c r="K130" i="22"/>
  <c r="J130" i="22"/>
  <c r="J129" i="22"/>
  <c r="K129" i="22"/>
  <c r="L129" i="22"/>
  <c r="J123" i="22"/>
  <c r="L123" i="22"/>
  <c r="K123" i="22"/>
  <c r="J116" i="22"/>
  <c r="L116" i="22"/>
  <c r="K116" i="22"/>
  <c r="K96" i="22"/>
  <c r="L96" i="22"/>
  <c r="J96" i="22"/>
  <c r="L89" i="22"/>
  <c r="K89" i="22"/>
  <c r="J89" i="22"/>
  <c r="K83" i="22"/>
  <c r="I91" i="22"/>
  <c r="J83" i="22"/>
  <c r="L83" i="22"/>
  <c r="L58" i="22"/>
  <c r="J58" i="22"/>
  <c r="K58" i="22"/>
  <c r="K44" i="22"/>
  <c r="J44" i="22"/>
  <c r="L44" i="22"/>
  <c r="L39" i="22"/>
  <c r="J39" i="22"/>
  <c r="K39" i="22"/>
  <c r="L86" i="26"/>
  <c r="L85" i="26"/>
  <c r="L84" i="26"/>
  <c r="L83" i="26"/>
  <c r="L82" i="26"/>
  <c r="L81" i="26"/>
  <c r="L80" i="26"/>
  <c r="L79" i="26"/>
  <c r="L78" i="26"/>
  <c r="L77" i="26"/>
  <c r="L76" i="26"/>
  <c r="L75" i="26"/>
  <c r="I159" i="23"/>
  <c r="J159" i="23"/>
  <c r="K159" i="23"/>
  <c r="I149" i="23"/>
  <c r="J149" i="23"/>
  <c r="K149" i="23"/>
  <c r="J145" i="23"/>
  <c r="K145" i="23"/>
  <c r="I145" i="23"/>
  <c r="J135" i="23"/>
  <c r="I135" i="23"/>
  <c r="K135" i="23"/>
  <c r="I131" i="23"/>
  <c r="J131" i="23"/>
  <c r="K131" i="23"/>
  <c r="I121" i="23"/>
  <c r="J121" i="23"/>
  <c r="K121" i="23"/>
  <c r="I110" i="23"/>
  <c r="J110" i="23"/>
  <c r="H118" i="23"/>
  <c r="K110" i="23"/>
  <c r="J107" i="23"/>
  <c r="K107" i="23"/>
  <c r="I107" i="23"/>
  <c r="J96" i="23"/>
  <c r="H104" i="23"/>
  <c r="I96" i="23"/>
  <c r="K96" i="23"/>
  <c r="I93" i="23"/>
  <c r="J93" i="23"/>
  <c r="K93" i="23"/>
  <c r="I72" i="23"/>
  <c r="K72" i="23"/>
  <c r="J72" i="23"/>
  <c r="J70" i="23"/>
  <c r="I70" i="23"/>
  <c r="K70" i="23"/>
  <c r="I69" i="23"/>
  <c r="J69" i="23"/>
  <c r="K69" i="23"/>
  <c r="I46" i="23"/>
  <c r="K46" i="23"/>
  <c r="J46" i="23"/>
  <c r="J44" i="23"/>
  <c r="I44" i="23"/>
  <c r="K44" i="23"/>
  <c r="I43" i="23"/>
  <c r="J43" i="23"/>
  <c r="K43" i="23"/>
  <c r="I19" i="23"/>
  <c r="J19" i="23"/>
  <c r="K19" i="23"/>
  <c r="L156" i="22"/>
  <c r="J156" i="22"/>
  <c r="K156" i="22"/>
  <c r="L150" i="22"/>
  <c r="J150" i="22"/>
  <c r="K150" i="22"/>
  <c r="J149" i="22"/>
  <c r="K149" i="22"/>
  <c r="L149" i="22"/>
  <c r="J142" i="22"/>
  <c r="K142" i="22"/>
  <c r="L142" i="22"/>
  <c r="J136" i="22"/>
  <c r="K136" i="22"/>
  <c r="L136" i="22"/>
  <c r="K115" i="22"/>
  <c r="J115" i="22"/>
  <c r="L115" i="22"/>
  <c r="J109" i="22"/>
  <c r="L109" i="22"/>
  <c r="K109" i="22"/>
  <c r="L101" i="22"/>
  <c r="K101" i="22"/>
  <c r="J101" i="22"/>
  <c r="L95" i="22"/>
  <c r="J95" i="22"/>
  <c r="K95" i="22"/>
  <c r="K80" i="22"/>
  <c r="J80" i="22"/>
  <c r="L80" i="22"/>
  <c r="J74" i="22"/>
  <c r="K74" i="22"/>
  <c r="L74" i="22"/>
  <c r="K60" i="22"/>
  <c r="J60" i="22"/>
  <c r="L60" i="22"/>
  <c r="I63" i="22"/>
  <c r="J55" i="22"/>
  <c r="K55" i="22"/>
  <c r="L55" i="22"/>
  <c r="I49" i="22"/>
  <c r="K41" i="22"/>
  <c r="J41" i="22"/>
  <c r="L41" i="22"/>
  <c r="K12" i="22"/>
  <c r="J12" i="22"/>
  <c r="L12" i="22"/>
  <c r="J9" i="22"/>
  <c r="K9" i="22"/>
  <c r="L9" i="22"/>
  <c r="L14" i="22"/>
  <c r="J14" i="22"/>
  <c r="K14" i="22"/>
  <c r="J20" i="22"/>
  <c r="K20" i="22"/>
  <c r="L20" i="22"/>
  <c r="L24" i="22"/>
  <c r="K24" i="22"/>
  <c r="J24" i="22"/>
  <c r="K27" i="22"/>
  <c r="I35" i="22"/>
  <c r="J27" i="22"/>
  <c r="L27" i="22"/>
  <c r="J30" i="22"/>
  <c r="K30" i="22"/>
  <c r="L30" i="22"/>
  <c r="L33" i="22"/>
  <c r="J33" i="22"/>
  <c r="K33" i="22"/>
  <c r="K37" i="22"/>
  <c r="L37" i="22"/>
  <c r="J37" i="22"/>
  <c r="L40" i="22"/>
  <c r="J40" i="22"/>
  <c r="K40" i="22"/>
  <c r="L43" i="22"/>
  <c r="K43" i="22"/>
  <c r="J43" i="22"/>
  <c r="K46" i="22"/>
  <c r="J46" i="22"/>
  <c r="L46" i="22"/>
  <c r="L53" i="22"/>
  <c r="J53" i="22"/>
  <c r="K53" i="22"/>
  <c r="K56" i="22"/>
  <c r="L56" i="22"/>
  <c r="J56" i="22"/>
  <c r="L59" i="22"/>
  <c r="J59" i="22"/>
  <c r="K59" i="22"/>
  <c r="L62" i="22"/>
  <c r="K62" i="22"/>
  <c r="J62" i="22"/>
  <c r="K66" i="22"/>
  <c r="J66" i="22"/>
  <c r="L66" i="22"/>
  <c r="I77" i="22"/>
  <c r="J69" i="22"/>
  <c r="K69" i="22"/>
  <c r="L69" i="22"/>
  <c r="L72" i="22"/>
  <c r="J72" i="22"/>
  <c r="K72" i="22"/>
  <c r="K75" i="22"/>
  <c r="L75" i="22"/>
  <c r="J75" i="22"/>
  <c r="L79" i="22"/>
  <c r="J79" i="22"/>
  <c r="K79" i="22"/>
  <c r="L82" i="22"/>
  <c r="K82" i="22"/>
  <c r="J82" i="22"/>
  <c r="K85" i="22"/>
  <c r="J85" i="22"/>
  <c r="L85" i="22"/>
  <c r="L88" i="22"/>
  <c r="J88" i="22"/>
  <c r="K88" i="22"/>
  <c r="J94" i="22"/>
  <c r="L94" i="22"/>
  <c r="K94" i="22"/>
  <c r="J102" i="22"/>
  <c r="L102" i="22"/>
  <c r="K102" i="22"/>
  <c r="L108" i="22"/>
  <c r="K108" i="22"/>
  <c r="J108" i="22"/>
  <c r="J113" i="22"/>
  <c r="L113" i="22"/>
  <c r="K113" i="22"/>
  <c r="K122" i="22"/>
  <c r="J122" i="22"/>
  <c r="L122" i="22"/>
  <c r="L127" i="22"/>
  <c r="K127" i="22"/>
  <c r="J127" i="22"/>
  <c r="J132" i="22"/>
  <c r="K132" i="22"/>
  <c r="L132" i="22"/>
  <c r="L141" i="22"/>
  <c r="K141" i="22"/>
  <c r="J141" i="22"/>
  <c r="L146" i="22"/>
  <c r="J146" i="22"/>
  <c r="K146" i="22"/>
  <c r="J152" i="22"/>
  <c r="L152" i="22"/>
  <c r="K152" i="22"/>
  <c r="L160" i="22"/>
  <c r="J160" i="22"/>
  <c r="K160" i="22"/>
  <c r="I253" i="26"/>
  <c r="I183" i="26"/>
  <c r="I117" i="26"/>
  <c r="J8" i="26"/>
  <c r="I205" i="26"/>
  <c r="I139" i="26"/>
  <c r="I51" i="26"/>
  <c r="I227" i="26"/>
  <c r="I161" i="26"/>
  <c r="I29" i="26"/>
  <c r="I95" i="26"/>
  <c r="G7" i="26"/>
  <c r="I73" i="26"/>
  <c r="L8" i="26"/>
  <c r="I157" i="23"/>
  <c r="J157" i="23"/>
  <c r="K157" i="23"/>
  <c r="I136" i="23"/>
  <c r="K136" i="23"/>
  <c r="J136" i="23"/>
  <c r="J122" i="23"/>
  <c r="K122" i="23"/>
  <c r="I122" i="23"/>
  <c r="I108" i="23"/>
  <c r="K108" i="23"/>
  <c r="J108" i="23"/>
  <c r="I97" i="23"/>
  <c r="K97" i="23"/>
  <c r="J97" i="23"/>
  <c r="J94" i="23"/>
  <c r="K94" i="23"/>
  <c r="I94" i="23"/>
  <c r="K89" i="23"/>
  <c r="J89" i="23"/>
  <c r="I89" i="23"/>
  <c r="J87" i="23"/>
  <c r="K87" i="23"/>
  <c r="I87" i="23"/>
  <c r="I86" i="23"/>
  <c r="K86" i="23"/>
  <c r="J86" i="23"/>
  <c r="K64" i="23"/>
  <c r="J64" i="23"/>
  <c r="I64" i="23"/>
  <c r="J61" i="23"/>
  <c r="K61" i="23"/>
  <c r="I61" i="23"/>
  <c r="I60" i="23"/>
  <c r="K60" i="23"/>
  <c r="J60" i="23"/>
  <c r="K38" i="23"/>
  <c r="J38" i="23"/>
  <c r="I38" i="23"/>
  <c r="J36" i="23"/>
  <c r="K36" i="23"/>
  <c r="I36" i="23"/>
  <c r="I15" i="23"/>
  <c r="K15" i="23"/>
  <c r="J15" i="23"/>
  <c r="L140" i="22"/>
  <c r="K140" i="22"/>
  <c r="J140" i="22"/>
  <c r="J126" i="22"/>
  <c r="L126" i="22"/>
  <c r="K126" i="22"/>
  <c r="J99" i="22"/>
  <c r="L99" i="22"/>
  <c r="K99" i="22"/>
  <c r="L93" i="22"/>
  <c r="K93" i="22"/>
  <c r="J93" i="22"/>
  <c r="L87" i="22"/>
  <c r="K87" i="22"/>
  <c r="J87" i="22"/>
  <c r="K73" i="22"/>
  <c r="L73" i="22"/>
  <c r="J73" i="22"/>
  <c r="L68" i="22"/>
  <c r="K68" i="22"/>
  <c r="J68" i="22"/>
  <c r="K54" i="22"/>
  <c r="L54" i="22"/>
  <c r="J54" i="22"/>
  <c r="L48" i="22"/>
  <c r="K48" i="22"/>
  <c r="J48" i="22"/>
  <c r="K34" i="22"/>
  <c r="L34" i="22"/>
  <c r="J34" i="22"/>
  <c r="L29" i="22"/>
  <c r="K29" i="22"/>
  <c r="J29" i="22"/>
  <c r="J13" i="22"/>
  <c r="L13" i="22"/>
  <c r="I21" i="22"/>
  <c r="K13" i="22"/>
  <c r="L10" i="22"/>
  <c r="K10" i="22"/>
  <c r="J10" i="22"/>
  <c r="J109" i="27"/>
  <c r="J108" i="27"/>
  <c r="J107" i="27"/>
  <c r="J105" i="27"/>
  <c r="J102" i="27"/>
  <c r="J99" i="27"/>
  <c r="J104" i="27"/>
  <c r="J101" i="27"/>
  <c r="J98" i="27"/>
  <c r="J103" i="27"/>
  <c r="J106" i="27"/>
  <c r="J97" i="27"/>
  <c r="J100" i="27"/>
  <c r="G95" i="27"/>
  <c r="G73" i="27"/>
  <c r="G51" i="27"/>
  <c r="G29" i="27"/>
  <c r="J30" i="27" s="1"/>
  <c r="E7" i="27"/>
  <c r="H8" i="27" s="1"/>
  <c r="J154" i="23"/>
  <c r="I154" i="23"/>
  <c r="K154" i="23"/>
  <c r="I151" i="23"/>
  <c r="J151" i="23"/>
  <c r="K151" i="23"/>
  <c r="I140" i="23"/>
  <c r="J140" i="23"/>
  <c r="K140" i="23"/>
  <c r="I129" i="23"/>
  <c r="J129" i="23"/>
  <c r="K129" i="23"/>
  <c r="J126" i="23"/>
  <c r="K126" i="23"/>
  <c r="I126" i="23"/>
  <c r="J115" i="23"/>
  <c r="I115" i="23"/>
  <c r="K115" i="23"/>
  <c r="I112" i="23"/>
  <c r="J112" i="23"/>
  <c r="K112" i="23"/>
  <c r="I101" i="23"/>
  <c r="J101" i="23"/>
  <c r="K101" i="23"/>
  <c r="K85" i="23"/>
  <c r="I85" i="23"/>
  <c r="J85" i="23"/>
  <c r="J83" i="23"/>
  <c r="I83" i="23"/>
  <c r="K83" i="23"/>
  <c r="I82" i="23"/>
  <c r="J82" i="23"/>
  <c r="H90" i="23"/>
  <c r="K82" i="23"/>
  <c r="K59" i="23"/>
  <c r="I59" i="23"/>
  <c r="J59" i="23"/>
  <c r="J57" i="23"/>
  <c r="I57" i="23"/>
  <c r="K57" i="23"/>
  <c r="I56" i="23"/>
  <c r="J56" i="23"/>
  <c r="K56" i="23"/>
  <c r="K33" i="23"/>
  <c r="I33" i="23"/>
  <c r="J33" i="23"/>
  <c r="J31" i="23"/>
  <c r="I31" i="23"/>
  <c r="K31" i="23"/>
  <c r="I30" i="23"/>
  <c r="J30" i="23"/>
  <c r="K30" i="23"/>
  <c r="I13" i="23"/>
  <c r="J13" i="23"/>
  <c r="K13" i="23"/>
  <c r="I8" i="23"/>
  <c r="J8" i="23"/>
  <c r="K8" i="23"/>
  <c r="I10" i="23"/>
  <c r="K10" i="23"/>
  <c r="J10" i="23"/>
  <c r="I12" i="23"/>
  <c r="H20" i="23"/>
  <c r="K12" i="23"/>
  <c r="J12" i="23"/>
  <c r="I14" i="23"/>
  <c r="J14" i="23"/>
  <c r="K14" i="23"/>
  <c r="I16" i="23"/>
  <c r="K16" i="23"/>
  <c r="J16" i="23"/>
  <c r="I18" i="23"/>
  <c r="K18" i="23"/>
  <c r="J18" i="23"/>
  <c r="I24" i="23"/>
  <c r="K24" i="23"/>
  <c r="J24" i="23"/>
  <c r="I28" i="23"/>
  <c r="K28" i="23"/>
  <c r="J28" i="23"/>
  <c r="I32" i="23"/>
  <c r="J32" i="23"/>
  <c r="K32" i="23"/>
  <c r="I37" i="23"/>
  <c r="K37" i="23"/>
  <c r="J37" i="23"/>
  <c r="I41" i="23"/>
  <c r="K41" i="23"/>
  <c r="J41" i="23"/>
  <c r="I45" i="23"/>
  <c r="J45" i="23"/>
  <c r="K45" i="23"/>
  <c r="I50" i="23"/>
  <c r="K50" i="23"/>
  <c r="J50" i="23"/>
  <c r="I54" i="23"/>
  <c r="H62" i="23"/>
  <c r="K54" i="23"/>
  <c r="J54" i="23"/>
  <c r="I58" i="23"/>
  <c r="J58" i="23"/>
  <c r="K58" i="23"/>
  <c r="I67" i="23"/>
  <c r="K67" i="23"/>
  <c r="J67" i="23"/>
  <c r="I71" i="23"/>
  <c r="J71" i="23"/>
  <c r="K71" i="23"/>
  <c r="I75" i="23"/>
  <c r="K75" i="23"/>
  <c r="J75" i="23"/>
  <c r="I80" i="23"/>
  <c r="K80" i="23"/>
  <c r="J80" i="23"/>
  <c r="I84" i="23"/>
  <c r="J84" i="23"/>
  <c r="K84" i="23"/>
  <c r="I88" i="23"/>
  <c r="K88" i="23"/>
  <c r="J88" i="23"/>
  <c r="J92" i="23"/>
  <c r="K92" i="23"/>
  <c r="I92" i="23"/>
  <c r="J98" i="23"/>
  <c r="K98" i="23"/>
  <c r="I98" i="23"/>
  <c r="J111" i="23"/>
  <c r="K111" i="23"/>
  <c r="I111" i="23"/>
  <c r="J117" i="23"/>
  <c r="K117" i="23"/>
  <c r="I117" i="23"/>
  <c r="J124" i="23"/>
  <c r="I124" i="23"/>
  <c r="H132" i="23"/>
  <c r="K124" i="23"/>
  <c r="J130" i="23"/>
  <c r="K130" i="23"/>
  <c r="I130" i="23"/>
  <c r="J137" i="23"/>
  <c r="K137" i="23"/>
  <c r="I137" i="23"/>
  <c r="J143" i="23"/>
  <c r="I143" i="23"/>
  <c r="K143" i="23"/>
  <c r="J150" i="23"/>
  <c r="K150" i="23"/>
  <c r="I150" i="23"/>
  <c r="J156" i="23"/>
  <c r="K156" i="23"/>
  <c r="I156" i="23"/>
  <c r="T20" i="23"/>
  <c r="V12" i="23"/>
  <c r="U12" i="23"/>
  <c r="W12" i="23"/>
  <c r="X20" i="22"/>
  <c r="W20" i="22"/>
  <c r="V20" i="22"/>
  <c r="V16" i="22"/>
  <c r="X16" i="22"/>
  <c r="W16" i="22"/>
  <c r="W13" i="22"/>
  <c r="U21" i="22"/>
  <c r="V13" i="22"/>
  <c r="X13" i="22"/>
  <c r="X19" i="22"/>
  <c r="W19" i="22"/>
  <c r="V19" i="22"/>
  <c r="V10" i="22"/>
  <c r="W10" i="22"/>
  <c r="X10" i="22"/>
  <c r="V18" i="22"/>
  <c r="W18" i="22"/>
  <c r="X18" i="22"/>
  <c r="X12" i="22"/>
  <c r="V12" i="22"/>
  <c r="W12" i="22"/>
  <c r="W15" i="22"/>
  <c r="V15" i="22"/>
  <c r="X15" i="22"/>
  <c r="X11" i="22"/>
  <c r="V11" i="22"/>
  <c r="W11" i="22"/>
  <c r="W17" i="22"/>
  <c r="X17" i="22"/>
  <c r="V17" i="22"/>
  <c r="V17" i="23"/>
  <c r="W17" i="23"/>
  <c r="U17" i="23"/>
  <c r="V13" i="23"/>
  <c r="U13" i="23"/>
  <c r="W13" i="23"/>
  <c r="W14" i="23"/>
  <c r="U14" i="23"/>
  <c r="V14" i="23"/>
  <c r="V15" i="23"/>
  <c r="W15" i="23"/>
  <c r="U15" i="23"/>
  <c r="W16" i="23"/>
  <c r="V16" i="23"/>
  <c r="U16" i="23"/>
  <c r="U8" i="23"/>
  <c r="W8" i="23"/>
  <c r="V8" i="23"/>
  <c r="V19" i="23"/>
  <c r="U19" i="23"/>
  <c r="W19" i="23"/>
  <c r="V9" i="23"/>
  <c r="W9" i="23"/>
  <c r="U9" i="23"/>
  <c r="W10" i="23"/>
  <c r="V10" i="23"/>
  <c r="U10" i="23"/>
  <c r="Y137" i="19"/>
  <c r="X137" i="19"/>
  <c r="Y136" i="19"/>
  <c r="W135" i="19"/>
  <c r="X136" i="19"/>
  <c r="Y132" i="19"/>
  <c r="X132" i="19"/>
  <c r="Y131" i="19"/>
  <c r="X131" i="19"/>
  <c r="Y130" i="19"/>
  <c r="X130" i="19"/>
  <c r="Y129" i="19"/>
  <c r="X129" i="19"/>
  <c r="Y128" i="19"/>
  <c r="X128" i="19"/>
  <c r="Y127" i="19"/>
  <c r="X127" i="19"/>
  <c r="Y126" i="19"/>
  <c r="X126" i="19"/>
  <c r="Y125" i="19"/>
  <c r="W133" i="19"/>
  <c r="X125" i="19"/>
  <c r="Y124" i="19"/>
  <c r="X124" i="19"/>
  <c r="Y123" i="19"/>
  <c r="X123" i="19"/>
  <c r="Y122" i="19"/>
  <c r="W121" i="19"/>
  <c r="X122" i="19"/>
  <c r="Y118" i="19"/>
  <c r="X118" i="19"/>
  <c r="Y117" i="19"/>
  <c r="X117" i="19"/>
  <c r="Y116" i="19"/>
  <c r="X116" i="19"/>
  <c r="Y115" i="19"/>
  <c r="X115" i="19"/>
  <c r="Y114" i="19"/>
  <c r="X114" i="19"/>
  <c r="Y113" i="19"/>
  <c r="X113" i="19"/>
  <c r="Y112" i="19"/>
  <c r="X112" i="19"/>
  <c r="Y111" i="19"/>
  <c r="W119" i="19"/>
  <c r="X111" i="19"/>
  <c r="Y110" i="19"/>
  <c r="X110" i="19"/>
  <c r="Y109" i="19"/>
  <c r="X109" i="19"/>
  <c r="Y108" i="19"/>
  <c r="W107" i="19"/>
  <c r="X108" i="19"/>
  <c r="Y104" i="19"/>
  <c r="X104" i="19"/>
  <c r="Y103" i="19"/>
  <c r="X103" i="19"/>
  <c r="Y102" i="19"/>
  <c r="X102" i="19"/>
  <c r="Y101" i="19"/>
  <c r="X101" i="19"/>
  <c r="Y100" i="19"/>
  <c r="X100" i="19"/>
  <c r="Y99" i="19"/>
  <c r="X99" i="19"/>
  <c r="Y98" i="19"/>
  <c r="X98" i="19"/>
  <c r="Y97" i="19"/>
  <c r="W105" i="19"/>
  <c r="X97" i="19"/>
  <c r="Y96" i="19"/>
  <c r="X96" i="19"/>
  <c r="Y95" i="19"/>
  <c r="X95" i="19"/>
  <c r="Y94" i="19"/>
  <c r="W93" i="19"/>
  <c r="X94" i="19"/>
  <c r="Y90" i="19"/>
  <c r="X90" i="19"/>
  <c r="Y89" i="19"/>
  <c r="X89" i="19"/>
  <c r="Y88" i="19"/>
  <c r="X88" i="19"/>
  <c r="Y87" i="19"/>
  <c r="X87" i="19"/>
  <c r="Y86" i="19"/>
  <c r="X86" i="19"/>
  <c r="Y85" i="19"/>
  <c r="X85" i="19"/>
  <c r="Y84" i="19"/>
  <c r="X84" i="19"/>
  <c r="Y83" i="19"/>
  <c r="W91" i="19"/>
  <c r="X83" i="19"/>
  <c r="Y82" i="19"/>
  <c r="X82" i="19"/>
  <c r="Y81" i="19"/>
  <c r="X81" i="19"/>
  <c r="Y80" i="19"/>
  <c r="W79" i="19"/>
  <c r="X80" i="19"/>
  <c r="Y76" i="19"/>
  <c r="X76" i="19"/>
  <c r="Y75" i="19"/>
  <c r="X75" i="19"/>
  <c r="Y74" i="19"/>
  <c r="X74" i="19"/>
  <c r="Y73" i="19"/>
  <c r="X73" i="19"/>
  <c r="Y72" i="19"/>
  <c r="X72" i="19"/>
  <c r="Y71" i="19"/>
  <c r="X71" i="19"/>
  <c r="Y70" i="19"/>
  <c r="X70" i="19"/>
  <c r="Y69" i="19"/>
  <c r="W77" i="19"/>
  <c r="X69" i="19"/>
  <c r="Y68" i="19"/>
  <c r="X68" i="19"/>
  <c r="Y67" i="19"/>
  <c r="X67" i="19"/>
  <c r="Y66" i="19"/>
  <c r="W65" i="19"/>
  <c r="X66" i="19"/>
  <c r="Y62" i="19"/>
  <c r="X62" i="19"/>
  <c r="Y61" i="19"/>
  <c r="X61" i="19"/>
  <c r="Y60" i="19"/>
  <c r="X60" i="19"/>
  <c r="Y59" i="19"/>
  <c r="X59" i="19"/>
  <c r="Y58" i="19"/>
  <c r="X58" i="19"/>
  <c r="Y57" i="19"/>
  <c r="X57" i="19"/>
  <c r="Y56" i="19"/>
  <c r="X56" i="19"/>
  <c r="Y55" i="19"/>
  <c r="W63" i="19"/>
  <c r="X55" i="19"/>
  <c r="Y54" i="19"/>
  <c r="X54" i="19"/>
  <c r="Y53" i="19"/>
  <c r="X53" i="19"/>
  <c r="Y52" i="19"/>
  <c r="W51" i="19"/>
  <c r="X52" i="19"/>
  <c r="Y48" i="19"/>
  <c r="X48" i="19"/>
  <c r="Y47" i="19"/>
  <c r="X47" i="19"/>
  <c r="Y46" i="19"/>
  <c r="X46" i="19"/>
  <c r="Y45" i="19"/>
  <c r="X45" i="19"/>
  <c r="Y44" i="19"/>
  <c r="X44" i="19"/>
  <c r="Y43" i="19"/>
  <c r="X43" i="19"/>
  <c r="Y42" i="19"/>
  <c r="X42" i="19"/>
  <c r="Y41" i="19"/>
  <c r="W49" i="19"/>
  <c r="X41" i="19"/>
  <c r="Y40" i="19"/>
  <c r="X40" i="19"/>
  <c r="Y39" i="19"/>
  <c r="X39" i="19"/>
  <c r="Y38" i="19"/>
  <c r="W37" i="19"/>
  <c r="X38" i="19"/>
  <c r="Y34" i="19"/>
  <c r="X34" i="19"/>
  <c r="Y33" i="19"/>
  <c r="X33" i="19"/>
  <c r="Y32" i="19"/>
  <c r="X32" i="19"/>
  <c r="Y31" i="19"/>
  <c r="X31" i="19"/>
  <c r="Y30" i="19"/>
  <c r="X30" i="19"/>
  <c r="Y29" i="19"/>
  <c r="X29" i="19"/>
  <c r="X28" i="19"/>
  <c r="Y28" i="19"/>
  <c r="W35" i="19"/>
  <c r="Y27" i="19"/>
  <c r="X27" i="19"/>
  <c r="Y26" i="19"/>
  <c r="X26" i="19"/>
  <c r="X25" i="19"/>
  <c r="Y25" i="19"/>
  <c r="W23" i="19"/>
  <c r="Y24" i="19"/>
  <c r="X24" i="19"/>
  <c r="Y20" i="19"/>
  <c r="X20" i="19"/>
  <c r="Y19" i="19"/>
  <c r="X19" i="19"/>
  <c r="X18" i="19"/>
  <c r="Y18" i="19"/>
  <c r="Y17" i="19"/>
  <c r="X17" i="19"/>
  <c r="Y16" i="19"/>
  <c r="X16" i="19"/>
  <c r="X15" i="19"/>
  <c r="Y15" i="19"/>
  <c r="Y14" i="19"/>
  <c r="X14" i="19"/>
  <c r="W21" i="19"/>
  <c r="Y13" i="19"/>
  <c r="X13" i="19"/>
  <c r="X12" i="19"/>
  <c r="Y12" i="19"/>
  <c r="Y11" i="19"/>
  <c r="X11" i="19"/>
  <c r="W9" i="19"/>
  <c r="Y10" i="19"/>
  <c r="X10" i="19"/>
  <c r="Y138" i="19"/>
  <c r="X138" i="19"/>
  <c r="W147" i="19"/>
  <c r="Y139" i="19"/>
  <c r="X139" i="19"/>
  <c r="Y140" i="19"/>
  <c r="X140" i="19"/>
  <c r="Y141" i="19"/>
  <c r="X141" i="19"/>
  <c r="Y142" i="19"/>
  <c r="X142" i="19"/>
  <c r="Y143" i="19"/>
  <c r="X143" i="19"/>
  <c r="Y144" i="19"/>
  <c r="X144" i="19"/>
  <c r="Y145" i="19"/>
  <c r="X145" i="19"/>
  <c r="Y146" i="19"/>
  <c r="X146" i="19"/>
  <c r="Y150" i="19"/>
  <c r="W149" i="19"/>
  <c r="X150" i="19"/>
  <c r="Y151" i="19"/>
  <c r="X151" i="19"/>
  <c r="Y152" i="19"/>
  <c r="X152" i="19"/>
  <c r="Y153" i="19"/>
  <c r="W161" i="19"/>
  <c r="X153" i="19"/>
  <c r="Y154" i="19"/>
  <c r="X154" i="19"/>
  <c r="Y155" i="19"/>
  <c r="X155" i="19"/>
  <c r="Y156" i="19"/>
  <c r="X156" i="19"/>
  <c r="Y157" i="19"/>
  <c r="X157" i="19"/>
  <c r="Y158" i="19"/>
  <c r="X158" i="19"/>
  <c r="Y159" i="19"/>
  <c r="X159" i="19"/>
  <c r="Y160" i="19"/>
  <c r="X160" i="19"/>
  <c r="P22" i="21"/>
  <c r="R14" i="21"/>
  <c r="Q14" i="21"/>
  <c r="R20" i="21"/>
  <c r="Q20" i="21"/>
  <c r="R17" i="21"/>
  <c r="Q17" i="21"/>
  <c r="R12" i="21"/>
  <c r="Q12" i="21"/>
  <c r="R15" i="21"/>
  <c r="Q15" i="21"/>
  <c r="R18" i="21"/>
  <c r="Q18" i="21"/>
  <c r="R21" i="21"/>
  <c r="Q21" i="21"/>
  <c r="R10" i="21"/>
  <c r="Q10" i="21"/>
  <c r="R13" i="21"/>
  <c r="Q13" i="21"/>
  <c r="Q16" i="21"/>
  <c r="R16" i="21"/>
  <c r="Q19" i="21"/>
  <c r="R19" i="21"/>
  <c r="Z136" i="19"/>
  <c r="U135" i="19"/>
  <c r="Z135" i="19" s="1"/>
  <c r="Z125" i="19"/>
  <c r="U133" i="19"/>
  <c r="Z133" i="19" s="1"/>
  <c r="Z122" i="19"/>
  <c r="U121" i="19"/>
  <c r="Z121" i="19" s="1"/>
  <c r="Z111" i="19"/>
  <c r="U119" i="19"/>
  <c r="Z119" i="19" s="1"/>
  <c r="Z108" i="19"/>
  <c r="U107" i="19"/>
  <c r="Z107" i="19" s="1"/>
  <c r="Z97" i="19"/>
  <c r="U105" i="19"/>
  <c r="Z105" i="19" s="1"/>
  <c r="Z94" i="19"/>
  <c r="U93" i="19"/>
  <c r="Z93" i="19" s="1"/>
  <c r="Z83" i="19"/>
  <c r="U91" i="19"/>
  <c r="Z91" i="19" s="1"/>
  <c r="Z80" i="19"/>
  <c r="U79" i="19"/>
  <c r="Z79" i="19" s="1"/>
  <c r="Z69" i="19"/>
  <c r="U77" i="19"/>
  <c r="Z77" i="19" s="1"/>
  <c r="Z66" i="19"/>
  <c r="U65" i="19"/>
  <c r="Z65" i="19" s="1"/>
  <c r="Z55" i="19"/>
  <c r="U63" i="19"/>
  <c r="Z63" i="19" s="1"/>
  <c r="Z52" i="19"/>
  <c r="U51" i="19"/>
  <c r="Z51" i="19" s="1"/>
  <c r="Z41" i="19"/>
  <c r="U49" i="19"/>
  <c r="Z49" i="19" s="1"/>
  <c r="Z38" i="19"/>
  <c r="U37" i="19"/>
  <c r="Z37" i="19" s="1"/>
  <c r="Z27" i="19"/>
  <c r="U35" i="19"/>
  <c r="Z35" i="19" s="1"/>
  <c r="Z24" i="19"/>
  <c r="U23" i="19"/>
  <c r="Z23" i="19" s="1"/>
  <c r="X141" i="18"/>
  <c r="W134" i="18"/>
  <c r="X135" i="18"/>
  <c r="Y128" i="18"/>
  <c r="X128" i="18"/>
  <c r="X122" i="18"/>
  <c r="X115" i="18"/>
  <c r="Y109" i="18"/>
  <c r="X109" i="18"/>
  <c r="X102" i="18"/>
  <c r="W104" i="18"/>
  <c r="X96" i="18"/>
  <c r="X89" i="18"/>
  <c r="X83" i="18"/>
  <c r="Y70" i="18"/>
  <c r="X70" i="18"/>
  <c r="X57" i="18"/>
  <c r="X51" i="18"/>
  <c r="W50" i="18"/>
  <c r="Y44" i="18"/>
  <c r="X44" i="18"/>
  <c r="X38" i="18"/>
  <c r="X31" i="18"/>
  <c r="Y25" i="18"/>
  <c r="X25" i="18"/>
  <c r="X18" i="18"/>
  <c r="X12" i="18"/>
  <c r="W20" i="18"/>
  <c r="Y12" i="18"/>
  <c r="V11" i="23"/>
  <c r="W11" i="23"/>
  <c r="U11" i="23"/>
  <c r="H29" i="19"/>
  <c r="I29" i="19"/>
  <c r="H26" i="19"/>
  <c r="I26" i="19"/>
  <c r="H19" i="19"/>
  <c r="I19" i="19"/>
  <c r="H16" i="19"/>
  <c r="I16" i="19"/>
  <c r="H13" i="19"/>
  <c r="I13" i="19"/>
  <c r="G21" i="19"/>
  <c r="H10" i="19"/>
  <c r="I10" i="19"/>
  <c r="G9" i="19"/>
  <c r="T135" i="19"/>
  <c r="T133" i="19"/>
  <c r="T121" i="19"/>
  <c r="T119" i="19"/>
  <c r="T107" i="19"/>
  <c r="T105" i="19"/>
  <c r="T93" i="19"/>
  <c r="T91" i="19"/>
  <c r="T79" i="19"/>
  <c r="T77" i="19"/>
  <c r="T65" i="19"/>
  <c r="T63" i="19"/>
  <c r="T51" i="19"/>
  <c r="T49" i="19"/>
  <c r="T37" i="19"/>
  <c r="T35" i="19"/>
  <c r="T23" i="19"/>
  <c r="T21" i="19"/>
  <c r="T9" i="19"/>
  <c r="T161" i="19"/>
  <c r="T149" i="19"/>
  <c r="T147" i="19"/>
  <c r="S7" i="19"/>
  <c r="X155" i="18"/>
  <c r="Y155" i="18"/>
  <c r="X149" i="18"/>
  <c r="W148" i="18"/>
  <c r="X142" i="18"/>
  <c r="Y142" i="18"/>
  <c r="X136" i="18"/>
  <c r="X129" i="18"/>
  <c r="X123" i="18"/>
  <c r="Y123" i="18"/>
  <c r="X116" i="18"/>
  <c r="X110" i="18"/>
  <c r="W118" i="18"/>
  <c r="X103" i="18"/>
  <c r="Y103" i="18"/>
  <c r="X97" i="18"/>
  <c r="X84" i="18"/>
  <c r="X71" i="18"/>
  <c r="Y71" i="18"/>
  <c r="X65" i="18"/>
  <c r="W64" i="18"/>
  <c r="X58" i="18"/>
  <c r="Y58" i="18"/>
  <c r="X52" i="18"/>
  <c r="X45" i="18"/>
  <c r="X39" i="18"/>
  <c r="Y39" i="18"/>
  <c r="X32" i="18"/>
  <c r="X26" i="18"/>
  <c r="W34" i="18"/>
  <c r="X19" i="18"/>
  <c r="Y19" i="18"/>
  <c r="X13" i="18"/>
  <c r="H30" i="19"/>
  <c r="I30" i="19"/>
  <c r="H27" i="19"/>
  <c r="G35" i="19"/>
  <c r="I27" i="19"/>
  <c r="H24" i="19"/>
  <c r="G23" i="19"/>
  <c r="I24" i="19"/>
  <c r="H20" i="19"/>
  <c r="I20" i="19"/>
  <c r="H17" i="19"/>
  <c r="I17" i="19"/>
  <c r="H14" i="19"/>
  <c r="I14" i="19"/>
  <c r="H11" i="19"/>
  <c r="I11" i="19"/>
  <c r="X157" i="18"/>
  <c r="X151" i="18"/>
  <c r="Y144" i="18"/>
  <c r="X144" i="18"/>
  <c r="X138" i="18"/>
  <c r="W146" i="18"/>
  <c r="Y131" i="18"/>
  <c r="X131" i="18"/>
  <c r="X125" i="18"/>
  <c r="X112" i="18"/>
  <c r="Y99" i="18"/>
  <c r="X99" i="18"/>
  <c r="W92" i="18"/>
  <c r="X93" i="18"/>
  <c r="X86" i="18"/>
  <c r="Y80" i="18"/>
  <c r="X80" i="18"/>
  <c r="X73" i="18"/>
  <c r="X67" i="18"/>
  <c r="Y60" i="18"/>
  <c r="X60" i="18"/>
  <c r="W62" i="18"/>
  <c r="X54" i="18"/>
  <c r="Y47" i="18"/>
  <c r="X47" i="18"/>
  <c r="X41" i="18"/>
  <c r="X28" i="18"/>
  <c r="Y15" i="18"/>
  <c r="X15" i="18"/>
  <c r="W8" i="18"/>
  <c r="Y135" i="18" s="1"/>
  <c r="X9" i="18"/>
  <c r="I140" i="19"/>
  <c r="H140" i="19"/>
  <c r="H31" i="19"/>
  <c r="I31" i="19"/>
  <c r="H32" i="19"/>
  <c r="I32" i="19"/>
  <c r="J32" i="19"/>
  <c r="H33" i="19"/>
  <c r="I33" i="19"/>
  <c r="H34" i="19"/>
  <c r="I34" i="19"/>
  <c r="H38" i="19"/>
  <c r="G37" i="19"/>
  <c r="I38" i="19"/>
  <c r="H39" i="19"/>
  <c r="I39" i="19"/>
  <c r="H40" i="19"/>
  <c r="I40" i="19"/>
  <c r="H41" i="19"/>
  <c r="G49" i="19"/>
  <c r="I41" i="19"/>
  <c r="H42" i="19"/>
  <c r="I42" i="19"/>
  <c r="J42" i="19"/>
  <c r="H43" i="19"/>
  <c r="I43" i="19"/>
  <c r="H44" i="19"/>
  <c r="I44" i="19"/>
  <c r="H45" i="19"/>
  <c r="I45" i="19"/>
  <c r="H46" i="19"/>
  <c r="I46" i="19"/>
  <c r="H47" i="19"/>
  <c r="I47" i="19"/>
  <c r="H48" i="19"/>
  <c r="I48" i="19"/>
  <c r="H52" i="19"/>
  <c r="G51" i="19"/>
  <c r="I52" i="19"/>
  <c r="H53" i="19"/>
  <c r="I53" i="19"/>
  <c r="H54" i="19"/>
  <c r="I54" i="19"/>
  <c r="H55" i="19"/>
  <c r="G63" i="19"/>
  <c r="I55" i="19"/>
  <c r="H56" i="19"/>
  <c r="I56" i="19"/>
  <c r="H57" i="19"/>
  <c r="I57" i="19"/>
  <c r="H58" i="19"/>
  <c r="I58" i="19"/>
  <c r="H59" i="19"/>
  <c r="I59" i="19"/>
  <c r="H60" i="19"/>
  <c r="I60" i="19"/>
  <c r="H61" i="19"/>
  <c r="I61" i="19"/>
  <c r="H62" i="19"/>
  <c r="I62" i="19"/>
  <c r="H66" i="19"/>
  <c r="G65" i="19"/>
  <c r="I66" i="19"/>
  <c r="H67" i="19"/>
  <c r="I67" i="19"/>
  <c r="H68" i="19"/>
  <c r="I68" i="19"/>
  <c r="H69" i="19"/>
  <c r="G77" i="19"/>
  <c r="I69" i="19"/>
  <c r="H70" i="19"/>
  <c r="I70" i="19"/>
  <c r="H71" i="19"/>
  <c r="I71" i="19"/>
  <c r="H72" i="19"/>
  <c r="I72" i="19"/>
  <c r="H73" i="19"/>
  <c r="I73" i="19"/>
  <c r="H74" i="19"/>
  <c r="I74" i="19"/>
  <c r="H75" i="19"/>
  <c r="I75" i="19"/>
  <c r="H76" i="19"/>
  <c r="I76" i="19"/>
  <c r="H80" i="19"/>
  <c r="G79" i="19"/>
  <c r="I80" i="19"/>
  <c r="H81" i="19"/>
  <c r="I81" i="19"/>
  <c r="H82" i="19"/>
  <c r="I82" i="19"/>
  <c r="H83" i="19"/>
  <c r="G91" i="19"/>
  <c r="I83" i="19"/>
  <c r="H84" i="19"/>
  <c r="I84" i="19"/>
  <c r="H85" i="19"/>
  <c r="I85" i="19"/>
  <c r="H86" i="19"/>
  <c r="I86" i="19"/>
  <c r="H87" i="19"/>
  <c r="I87" i="19"/>
  <c r="J87" i="19"/>
  <c r="H88" i="19"/>
  <c r="I88" i="19"/>
  <c r="H89" i="19"/>
  <c r="I89" i="19"/>
  <c r="H90" i="19"/>
  <c r="I90" i="19"/>
  <c r="H94" i="19"/>
  <c r="G93" i="19"/>
  <c r="I94" i="19"/>
  <c r="H95" i="19"/>
  <c r="I95" i="19"/>
  <c r="H96" i="19"/>
  <c r="I96" i="19"/>
  <c r="H97" i="19"/>
  <c r="G105" i="19"/>
  <c r="I97" i="19"/>
  <c r="H98" i="19"/>
  <c r="I98" i="19"/>
  <c r="H99" i="19"/>
  <c r="I99" i="19"/>
  <c r="H100" i="19"/>
  <c r="I100" i="19"/>
  <c r="H101" i="19"/>
  <c r="I101" i="19"/>
  <c r="H102" i="19"/>
  <c r="I102" i="19"/>
  <c r="H103" i="19"/>
  <c r="I103" i="19"/>
  <c r="H104" i="19"/>
  <c r="I104" i="19"/>
  <c r="H108" i="19"/>
  <c r="G107" i="19"/>
  <c r="I108" i="19"/>
  <c r="H109" i="19"/>
  <c r="I109" i="19"/>
  <c r="H110" i="19"/>
  <c r="I110" i="19"/>
  <c r="J110" i="19"/>
  <c r="H111" i="19"/>
  <c r="G119" i="19"/>
  <c r="I111" i="19"/>
  <c r="H112" i="19"/>
  <c r="I112" i="19"/>
  <c r="J112" i="19"/>
  <c r="H113" i="19"/>
  <c r="I113" i="19"/>
  <c r="H114" i="19"/>
  <c r="I114" i="19"/>
  <c r="H115" i="19"/>
  <c r="I115" i="19"/>
  <c r="H116" i="19"/>
  <c r="I116" i="19"/>
  <c r="H117" i="19"/>
  <c r="I117" i="19"/>
  <c r="H118" i="19"/>
  <c r="I118" i="19"/>
  <c r="H122" i="19"/>
  <c r="G121" i="19"/>
  <c r="I122" i="19"/>
  <c r="H123" i="19"/>
  <c r="I123" i="19"/>
  <c r="H124" i="19"/>
  <c r="I124" i="19"/>
  <c r="H125" i="19"/>
  <c r="G133" i="19"/>
  <c r="I125" i="19"/>
  <c r="H126" i="19"/>
  <c r="I126" i="19"/>
  <c r="H127" i="19"/>
  <c r="I127" i="19"/>
  <c r="H128" i="19"/>
  <c r="I128" i="19"/>
  <c r="H129" i="19"/>
  <c r="I129" i="19"/>
  <c r="H130" i="19"/>
  <c r="I130" i="19"/>
  <c r="H131" i="19"/>
  <c r="I131" i="19"/>
  <c r="H132" i="19"/>
  <c r="I132" i="19"/>
  <c r="H136" i="19"/>
  <c r="G135" i="19"/>
  <c r="I136" i="19"/>
  <c r="H137" i="19"/>
  <c r="I137" i="19"/>
  <c r="H138" i="19"/>
  <c r="I138" i="19"/>
  <c r="H141" i="19"/>
  <c r="I141" i="19"/>
  <c r="H142" i="19"/>
  <c r="I142" i="19"/>
  <c r="I143" i="19"/>
  <c r="H143" i="19"/>
  <c r="H144" i="19"/>
  <c r="I144" i="19"/>
  <c r="H145" i="19"/>
  <c r="I145" i="19"/>
  <c r="I146" i="19"/>
  <c r="H146" i="19"/>
  <c r="G149" i="19"/>
  <c r="I150" i="19"/>
  <c r="H150" i="19"/>
  <c r="H151" i="19"/>
  <c r="I151" i="19"/>
  <c r="H152" i="19"/>
  <c r="I152" i="19"/>
  <c r="G161" i="19"/>
  <c r="I153" i="19"/>
  <c r="H153" i="19"/>
  <c r="H154" i="19"/>
  <c r="I154" i="19"/>
  <c r="H155" i="19"/>
  <c r="I155" i="19"/>
  <c r="I156" i="19"/>
  <c r="H156" i="19"/>
  <c r="H157" i="19"/>
  <c r="I157" i="19"/>
  <c r="H158" i="19"/>
  <c r="I158" i="19"/>
  <c r="I159" i="19"/>
  <c r="H159" i="19"/>
  <c r="H160" i="19"/>
  <c r="I160" i="19"/>
  <c r="W160" i="18"/>
  <c r="X152" i="18"/>
  <c r="Y152" i="18"/>
  <c r="X145" i="18"/>
  <c r="Y145" i="18"/>
  <c r="X139" i="18"/>
  <c r="Y139" i="18"/>
  <c r="X126" i="18"/>
  <c r="Y126" i="18"/>
  <c r="X113" i="18"/>
  <c r="Y113" i="18"/>
  <c r="X107" i="18"/>
  <c r="W106" i="18"/>
  <c r="Y107" i="18"/>
  <c r="X100" i="18"/>
  <c r="Y100" i="18"/>
  <c r="H77" i="21"/>
  <c r="I77" i="21"/>
  <c r="H52" i="21"/>
  <c r="I52" i="21"/>
  <c r="R155" i="18"/>
  <c r="Q155" i="18"/>
  <c r="Q136" i="18"/>
  <c r="Q116" i="18"/>
  <c r="R97" i="18"/>
  <c r="Q97" i="18"/>
  <c r="Q58" i="18"/>
  <c r="Q39" i="18"/>
  <c r="Q19" i="18"/>
  <c r="Q16" i="18"/>
  <c r="H155" i="21"/>
  <c r="I155" i="21"/>
  <c r="I115" i="21"/>
  <c r="H115" i="21"/>
  <c r="H75" i="21"/>
  <c r="I75" i="21"/>
  <c r="H39" i="21"/>
  <c r="I39" i="21"/>
  <c r="E161" i="19"/>
  <c r="E149" i="19"/>
  <c r="E147" i="19"/>
  <c r="E135" i="19"/>
  <c r="E133" i="19"/>
  <c r="E121" i="19"/>
  <c r="E119" i="19"/>
  <c r="E107" i="19"/>
  <c r="E105" i="19"/>
  <c r="E93" i="19"/>
  <c r="E91" i="19"/>
  <c r="E79" i="19"/>
  <c r="E77" i="19"/>
  <c r="E65" i="19"/>
  <c r="E63" i="19"/>
  <c r="E51" i="19"/>
  <c r="E49" i="19"/>
  <c r="E37" i="19"/>
  <c r="E35" i="19"/>
  <c r="E23" i="19"/>
  <c r="E21" i="19"/>
  <c r="E9" i="19"/>
  <c r="D7" i="19"/>
  <c r="Q139" i="18"/>
  <c r="R100" i="18"/>
  <c r="Q100" i="18"/>
  <c r="Q81" i="18"/>
  <c r="Q61" i="18"/>
  <c r="R42" i="18"/>
  <c r="Q42" i="18"/>
  <c r="Q23" i="18"/>
  <c r="P22" i="18"/>
  <c r="U18" i="16"/>
  <c r="W18" i="16"/>
  <c r="V18" i="16"/>
  <c r="U17" i="16"/>
  <c r="V17" i="16"/>
  <c r="U16" i="16"/>
  <c r="W16" i="16"/>
  <c r="V16" i="16"/>
  <c r="U15" i="16"/>
  <c r="V15" i="16"/>
  <c r="U14" i="16"/>
  <c r="W14" i="16"/>
  <c r="V14" i="16"/>
  <c r="U13" i="16"/>
  <c r="T21" i="16"/>
  <c r="W13" i="16"/>
  <c r="V13" i="16"/>
  <c r="U12" i="16"/>
  <c r="V12" i="16"/>
  <c r="U11" i="16"/>
  <c r="W11" i="16"/>
  <c r="V11" i="16"/>
  <c r="U10" i="16"/>
  <c r="T9" i="16"/>
  <c r="W12" i="16" s="1"/>
  <c r="W10" i="16"/>
  <c r="V10" i="16"/>
  <c r="H153" i="21"/>
  <c r="I153" i="21"/>
  <c r="H113" i="21"/>
  <c r="I113" i="21"/>
  <c r="H73" i="21"/>
  <c r="I73" i="21"/>
  <c r="H26" i="21"/>
  <c r="I26" i="21"/>
  <c r="R142" i="18"/>
  <c r="Q142" i="18"/>
  <c r="Q123" i="18"/>
  <c r="Q103" i="18"/>
  <c r="R84" i="18"/>
  <c r="Q84" i="18"/>
  <c r="Q65" i="18"/>
  <c r="P64" i="18"/>
  <c r="Q45" i="18"/>
  <c r="Q26" i="18"/>
  <c r="P34" i="18"/>
  <c r="Q9" i="18"/>
  <c r="P8" i="18"/>
  <c r="R45" i="18" s="1"/>
  <c r="H151" i="21"/>
  <c r="I151" i="21"/>
  <c r="H18" i="21"/>
  <c r="I18" i="21"/>
  <c r="H15" i="21"/>
  <c r="I15" i="21"/>
  <c r="H32" i="21"/>
  <c r="I32" i="21"/>
  <c r="I76" i="21"/>
  <c r="H76" i="21"/>
  <c r="H112" i="21"/>
  <c r="G120" i="21"/>
  <c r="I112" i="21"/>
  <c r="H116" i="21"/>
  <c r="I116" i="21"/>
  <c r="H152" i="21"/>
  <c r="I152" i="21"/>
  <c r="H10" i="21"/>
  <c r="I10" i="21"/>
  <c r="I47" i="21"/>
  <c r="H47" i="21"/>
  <c r="I63" i="21"/>
  <c r="H63" i="21"/>
  <c r="I99" i="21"/>
  <c r="H99" i="21"/>
  <c r="H103" i="21"/>
  <c r="I103" i="21"/>
  <c r="I139" i="21"/>
  <c r="H139" i="21"/>
  <c r="H21" i="21"/>
  <c r="I21" i="21"/>
  <c r="H45" i="21"/>
  <c r="I45" i="21"/>
  <c r="H74" i="21"/>
  <c r="I74" i="21"/>
  <c r="H114" i="21"/>
  <c r="I114" i="21"/>
  <c r="G162" i="21"/>
  <c r="I154" i="21"/>
  <c r="H154" i="21"/>
  <c r="I16" i="21"/>
  <c r="H16" i="21"/>
  <c r="I34" i="21"/>
  <c r="H34" i="21"/>
  <c r="I61" i="21"/>
  <c r="H61" i="21"/>
  <c r="I101" i="21"/>
  <c r="H101" i="21"/>
  <c r="I141" i="21"/>
  <c r="H141" i="21"/>
  <c r="H12" i="21"/>
  <c r="I12" i="21"/>
  <c r="I14" i="21"/>
  <c r="G22" i="21"/>
  <c r="H14" i="21"/>
  <c r="I31" i="21"/>
  <c r="H31" i="21"/>
  <c r="I44" i="21"/>
  <c r="H44" i="21"/>
  <c r="I80" i="21"/>
  <c r="H80" i="21"/>
  <c r="I82" i="21"/>
  <c r="H82" i="21"/>
  <c r="H84" i="21"/>
  <c r="G92" i="21"/>
  <c r="I84" i="21"/>
  <c r="I119" i="21"/>
  <c r="H119" i="21"/>
  <c r="I122" i="21"/>
  <c r="H122" i="21"/>
  <c r="I157" i="21"/>
  <c r="H157" i="21"/>
  <c r="I159" i="21"/>
  <c r="H159" i="21"/>
  <c r="H161" i="21"/>
  <c r="I161" i="21"/>
  <c r="H11" i="21"/>
  <c r="I11" i="21"/>
  <c r="I19" i="21"/>
  <c r="H19" i="21"/>
  <c r="G36" i="21"/>
  <c r="I28" i="21"/>
  <c r="H28" i="21"/>
  <c r="I41" i="21"/>
  <c r="H41" i="21"/>
  <c r="I54" i="21"/>
  <c r="H54" i="21"/>
  <c r="I60" i="21"/>
  <c r="H60" i="21"/>
  <c r="I62" i="21"/>
  <c r="H62" i="21"/>
  <c r="I100" i="21"/>
  <c r="H100" i="21"/>
  <c r="I102" i="21"/>
  <c r="H102" i="21"/>
  <c r="I138" i="21"/>
  <c r="H138" i="21"/>
  <c r="I140" i="21"/>
  <c r="H140" i="21"/>
  <c r="G148" i="21"/>
  <c r="H142" i="21"/>
  <c r="I142" i="21"/>
  <c r="H13" i="21"/>
  <c r="I13" i="21"/>
  <c r="I25" i="21"/>
  <c r="H25" i="21"/>
  <c r="I38" i="21"/>
  <c r="H38" i="21"/>
  <c r="I81" i="21"/>
  <c r="H81" i="21"/>
  <c r="I83" i="21"/>
  <c r="H83" i="21"/>
  <c r="I118" i="21"/>
  <c r="H118" i="21"/>
  <c r="H123" i="21"/>
  <c r="I123" i="21"/>
  <c r="I158" i="21"/>
  <c r="H158" i="21"/>
  <c r="I160" i="21"/>
  <c r="H160" i="21"/>
  <c r="I27" i="21"/>
  <c r="H27" i="21"/>
  <c r="I33" i="21"/>
  <c r="H33" i="21"/>
  <c r="I40" i="21"/>
  <c r="H40" i="21"/>
  <c r="I46" i="21"/>
  <c r="H46" i="21"/>
  <c r="I53" i="21"/>
  <c r="H53" i="21"/>
  <c r="I67" i="21"/>
  <c r="H67" i="21"/>
  <c r="I68" i="21"/>
  <c r="H68" i="21"/>
  <c r="I69" i="21"/>
  <c r="H69" i="21"/>
  <c r="G78" i="21"/>
  <c r="I70" i="21"/>
  <c r="H70" i="21"/>
  <c r="H71" i="21"/>
  <c r="I71" i="21"/>
  <c r="I105" i="21"/>
  <c r="H105" i="21"/>
  <c r="I108" i="21"/>
  <c r="H108" i="21"/>
  <c r="I109" i="21"/>
  <c r="H109" i="21"/>
  <c r="H110" i="21"/>
  <c r="I110" i="21"/>
  <c r="I144" i="21"/>
  <c r="H144" i="21"/>
  <c r="I145" i="21"/>
  <c r="H145" i="21"/>
  <c r="I146" i="21"/>
  <c r="H146" i="21"/>
  <c r="I147" i="21"/>
  <c r="H147" i="21"/>
  <c r="H29" i="21"/>
  <c r="I29" i="21"/>
  <c r="H35" i="21"/>
  <c r="I35" i="21"/>
  <c r="H42" i="21"/>
  <c r="G50" i="21"/>
  <c r="I42" i="21"/>
  <c r="H48" i="21"/>
  <c r="I48" i="21"/>
  <c r="H55" i="21"/>
  <c r="I55" i="21"/>
  <c r="H56" i="21"/>
  <c r="I56" i="21"/>
  <c r="G64" i="21"/>
  <c r="I57" i="21"/>
  <c r="H57" i="21"/>
  <c r="H58" i="21"/>
  <c r="I58" i="21"/>
  <c r="H94" i="21"/>
  <c r="I94" i="21"/>
  <c r="H95" i="21"/>
  <c r="I95" i="21"/>
  <c r="I96" i="21"/>
  <c r="H96" i="21"/>
  <c r="H97" i="21"/>
  <c r="I97" i="21"/>
  <c r="H131" i="21"/>
  <c r="I131" i="21"/>
  <c r="H132" i="21"/>
  <c r="I132" i="21"/>
  <c r="H133" i="21"/>
  <c r="I133" i="21"/>
  <c r="H136" i="21"/>
  <c r="I136" i="21"/>
  <c r="H17" i="21"/>
  <c r="I17" i="21"/>
  <c r="H20" i="21"/>
  <c r="I20" i="21"/>
  <c r="H24" i="21"/>
  <c r="I24" i="21"/>
  <c r="H30" i="21"/>
  <c r="I30" i="21"/>
  <c r="H43" i="21"/>
  <c r="I43" i="21"/>
  <c r="H49" i="21"/>
  <c r="I49" i="21"/>
  <c r="H86" i="21"/>
  <c r="I86" i="21"/>
  <c r="H87" i="21"/>
  <c r="I87" i="21"/>
  <c r="H88" i="21"/>
  <c r="I88" i="21"/>
  <c r="I89" i="21"/>
  <c r="H89" i="21"/>
  <c r="H90" i="21"/>
  <c r="I90" i="21"/>
  <c r="H125" i="21"/>
  <c r="I125" i="21"/>
  <c r="G134" i="21"/>
  <c r="H126" i="21"/>
  <c r="I126" i="21"/>
  <c r="H127" i="21"/>
  <c r="I127" i="21"/>
  <c r="I128" i="21"/>
  <c r="H128" i="21"/>
  <c r="H129" i="21"/>
  <c r="I129" i="21"/>
  <c r="I59" i="21"/>
  <c r="H59" i="21"/>
  <c r="I66" i="21"/>
  <c r="H66" i="21"/>
  <c r="H72" i="21"/>
  <c r="I72" i="21"/>
  <c r="H85" i="21"/>
  <c r="I85" i="21"/>
  <c r="H91" i="21"/>
  <c r="I91" i="21"/>
  <c r="I98" i="21"/>
  <c r="H98" i="21"/>
  <c r="G106" i="21"/>
  <c r="I104" i="21"/>
  <c r="H104" i="21"/>
  <c r="H111" i="21"/>
  <c r="I111" i="21"/>
  <c r="I117" i="21"/>
  <c r="H117" i="21"/>
  <c r="H124" i="21"/>
  <c r="I124" i="21"/>
  <c r="H130" i="21"/>
  <c r="I130" i="21"/>
  <c r="I137" i="21"/>
  <c r="H137" i="21"/>
  <c r="I143" i="21"/>
  <c r="H143" i="21"/>
  <c r="H150" i="21"/>
  <c r="I150" i="21"/>
  <c r="I156" i="21"/>
  <c r="H156" i="21"/>
  <c r="Q145" i="18"/>
  <c r="R126" i="18"/>
  <c r="Q126" i="18"/>
  <c r="Q107" i="18"/>
  <c r="P106" i="18"/>
  <c r="R87" i="18"/>
  <c r="Q87" i="18"/>
  <c r="P76" i="18"/>
  <c r="Q68" i="18"/>
  <c r="Q29" i="18"/>
  <c r="R10" i="18"/>
  <c r="Q10" i="18"/>
  <c r="Q28" i="18"/>
  <c r="Q41" i="18"/>
  <c r="Q47" i="18"/>
  <c r="P62" i="18"/>
  <c r="Q54" i="18"/>
  <c r="Q60" i="18"/>
  <c r="R60" i="18"/>
  <c r="Q67" i="18"/>
  <c r="Q73" i="18"/>
  <c r="Q80" i="18"/>
  <c r="R80" i="18"/>
  <c r="Q86" i="18"/>
  <c r="Q93" i="18"/>
  <c r="P92" i="18"/>
  <c r="R93" i="18"/>
  <c r="Q99" i="18"/>
  <c r="Q112" i="18"/>
  <c r="Q125" i="18"/>
  <c r="R125" i="18"/>
  <c r="Q131" i="18"/>
  <c r="P146" i="18"/>
  <c r="Q138" i="18"/>
  <c r="Q144" i="18"/>
  <c r="R144" i="18"/>
  <c r="Q151" i="18"/>
  <c r="Q157" i="18"/>
  <c r="R158" i="18"/>
  <c r="Q158" i="18"/>
  <c r="Q14" i="18"/>
  <c r="Q27" i="18"/>
  <c r="R33" i="18"/>
  <c r="Q33" i="18"/>
  <c r="P48" i="18"/>
  <c r="Q40" i="18"/>
  <c r="Q46" i="18"/>
  <c r="R53" i="18"/>
  <c r="Q53" i="18"/>
  <c r="Q59" i="18"/>
  <c r="Q66" i="18"/>
  <c r="R72" i="18"/>
  <c r="Q72" i="18"/>
  <c r="P78" i="18"/>
  <c r="Q79" i="18"/>
  <c r="Q85" i="18"/>
  <c r="Q98" i="18"/>
  <c r="Q111" i="18"/>
  <c r="R117" i="18"/>
  <c r="Q117" i="18"/>
  <c r="Q124" i="18"/>
  <c r="P132" i="18"/>
  <c r="Q130" i="18"/>
  <c r="R137" i="18"/>
  <c r="Q137" i="18"/>
  <c r="Q143" i="18"/>
  <c r="Q150" i="18"/>
  <c r="R156" i="18"/>
  <c r="Q156" i="18"/>
  <c r="Q12" i="18"/>
  <c r="P20" i="18"/>
  <c r="Q18" i="18"/>
  <c r="Q25" i="18"/>
  <c r="Q31" i="18"/>
  <c r="Q38" i="18"/>
  <c r="R38" i="18"/>
  <c r="Q44" i="18"/>
  <c r="Q51" i="18"/>
  <c r="P50" i="18"/>
  <c r="R51" i="18"/>
  <c r="Q57" i="18"/>
  <c r="Q70" i="18"/>
  <c r="Q83" i="18"/>
  <c r="Q89" i="18"/>
  <c r="Q96" i="18"/>
  <c r="P104" i="18"/>
  <c r="Q102" i="18"/>
  <c r="R102" i="18"/>
  <c r="Q109" i="18"/>
  <c r="Q115" i="18"/>
  <c r="Q122" i="18"/>
  <c r="R122" i="18"/>
  <c r="Q128" i="18"/>
  <c r="Q135" i="18"/>
  <c r="P134" i="18"/>
  <c r="R135" i="18"/>
  <c r="Q141" i="18"/>
  <c r="Q154" i="18"/>
  <c r="Q11" i="18"/>
  <c r="R17" i="18"/>
  <c r="Q17" i="18"/>
  <c r="Q24" i="18"/>
  <c r="Q30" i="18"/>
  <c r="R37" i="18"/>
  <c r="Q37" i="18"/>
  <c r="P36" i="18"/>
  <c r="Q43" i="18"/>
  <c r="R56" i="18"/>
  <c r="Q56" i="18"/>
  <c r="Q69" i="18"/>
  <c r="Q75" i="18"/>
  <c r="R82" i="18"/>
  <c r="Q82" i="18"/>
  <c r="P90" i="18"/>
  <c r="Q88" i="18"/>
  <c r="Q95" i="18"/>
  <c r="R101" i="18"/>
  <c r="Q101" i="18"/>
  <c r="Q108" i="18"/>
  <c r="Q114" i="18"/>
  <c r="R121" i="18"/>
  <c r="P120" i="18"/>
  <c r="Q121" i="18"/>
  <c r="Q127" i="18"/>
  <c r="Q140" i="18"/>
  <c r="Q153" i="18"/>
  <c r="Q159" i="18"/>
  <c r="I108" i="18"/>
  <c r="V20" i="16"/>
  <c r="U20" i="16"/>
  <c r="W20" i="16"/>
  <c r="M160" i="15"/>
  <c r="L160" i="15"/>
  <c r="K160" i="15"/>
  <c r="J160" i="15"/>
  <c r="I160" i="15"/>
  <c r="M135" i="15"/>
  <c r="L135" i="15"/>
  <c r="K135" i="15"/>
  <c r="J135" i="15"/>
  <c r="I135" i="15"/>
  <c r="M122" i="15"/>
  <c r="L122" i="15"/>
  <c r="K122" i="15"/>
  <c r="J122" i="15"/>
  <c r="I122" i="15"/>
  <c r="K114" i="15"/>
  <c r="J114" i="15"/>
  <c r="M114" i="15"/>
  <c r="L114" i="15"/>
  <c r="I114" i="15"/>
  <c r="M110" i="15"/>
  <c r="L110" i="15"/>
  <c r="K110" i="15"/>
  <c r="J110" i="15"/>
  <c r="I110" i="15"/>
  <c r="K95" i="15"/>
  <c r="J95" i="15"/>
  <c r="M95" i="15"/>
  <c r="L95" i="15"/>
  <c r="I95" i="15"/>
  <c r="M90" i="15"/>
  <c r="L90" i="15"/>
  <c r="K90" i="15"/>
  <c r="J90" i="15"/>
  <c r="I90" i="15"/>
  <c r="K75" i="15"/>
  <c r="J75" i="15"/>
  <c r="M75" i="15"/>
  <c r="L75" i="15"/>
  <c r="I75" i="15"/>
  <c r="M71" i="15"/>
  <c r="L71" i="15"/>
  <c r="K71" i="15"/>
  <c r="J71" i="15"/>
  <c r="I71" i="15"/>
  <c r="J68" i="15"/>
  <c r="L68" i="15"/>
  <c r="K68" i="15"/>
  <c r="M68" i="15"/>
  <c r="I68" i="15"/>
  <c r="M62" i="15"/>
  <c r="K62" i="15"/>
  <c r="J62" i="15"/>
  <c r="I62" i="15"/>
  <c r="L62" i="15"/>
  <c r="M56" i="15"/>
  <c r="K56" i="15"/>
  <c r="J56" i="15"/>
  <c r="L56" i="15"/>
  <c r="I56" i="15"/>
  <c r="M43" i="15"/>
  <c r="K43" i="15"/>
  <c r="J43" i="15"/>
  <c r="I43" i="15"/>
  <c r="L43" i="15"/>
  <c r="M37" i="15"/>
  <c r="K37" i="15"/>
  <c r="J37" i="15"/>
  <c r="L37" i="15"/>
  <c r="I37" i="15"/>
  <c r="M30" i="15"/>
  <c r="K30" i="15"/>
  <c r="J30" i="15"/>
  <c r="L30" i="15"/>
  <c r="I30" i="15"/>
  <c r="M24" i="15"/>
  <c r="K24" i="15"/>
  <c r="J24" i="15"/>
  <c r="I24" i="15"/>
  <c r="L24" i="15"/>
  <c r="Q154" i="19"/>
  <c r="P154" i="19"/>
  <c r="I130" i="18"/>
  <c r="I72" i="18"/>
  <c r="V19" i="17"/>
  <c r="U19" i="17"/>
  <c r="V15" i="17"/>
  <c r="U15" i="17"/>
  <c r="W15" i="17"/>
  <c r="V11" i="17"/>
  <c r="U11" i="17"/>
  <c r="K152" i="15"/>
  <c r="J152" i="15"/>
  <c r="I152" i="15"/>
  <c r="L152" i="15"/>
  <c r="M152" i="15"/>
  <c r="K139" i="15"/>
  <c r="J139" i="15"/>
  <c r="I139" i="15"/>
  <c r="H147" i="15"/>
  <c r="L139" i="15"/>
  <c r="M139" i="15"/>
  <c r="K126" i="15"/>
  <c r="J126" i="15"/>
  <c r="I126" i="15"/>
  <c r="L126" i="15"/>
  <c r="M126" i="15"/>
  <c r="J113" i="15"/>
  <c r="I113" i="15"/>
  <c r="K113" i="15"/>
  <c r="M113" i="15"/>
  <c r="L113" i="15"/>
  <c r="L109" i="15"/>
  <c r="K109" i="15"/>
  <c r="I109" i="15"/>
  <c r="M109" i="15"/>
  <c r="J109" i="15"/>
  <c r="J94" i="15"/>
  <c r="I94" i="15"/>
  <c r="K94" i="15"/>
  <c r="M94" i="15"/>
  <c r="L94" i="15"/>
  <c r="L89" i="15"/>
  <c r="K89" i="15"/>
  <c r="I89" i="15"/>
  <c r="M89" i="15"/>
  <c r="J89" i="15"/>
  <c r="J74" i="15"/>
  <c r="I74" i="15"/>
  <c r="K74" i="15"/>
  <c r="M74" i="15"/>
  <c r="L74" i="15"/>
  <c r="L70" i="15"/>
  <c r="K70" i="15"/>
  <c r="I70" i="15"/>
  <c r="M70" i="15"/>
  <c r="J70" i="15"/>
  <c r="I57" i="15"/>
  <c r="L57" i="15"/>
  <c r="K57" i="15"/>
  <c r="J57" i="15"/>
  <c r="M57" i="15"/>
  <c r="I51" i="15"/>
  <c r="L51" i="15"/>
  <c r="K51" i="15"/>
  <c r="M51" i="15"/>
  <c r="J51" i="15"/>
  <c r="I44" i="15"/>
  <c r="L44" i="15"/>
  <c r="K44" i="15"/>
  <c r="M44" i="15"/>
  <c r="J44" i="15"/>
  <c r="I38" i="15"/>
  <c r="L38" i="15"/>
  <c r="K38" i="15"/>
  <c r="J38" i="15"/>
  <c r="M38" i="15"/>
  <c r="I31" i="15"/>
  <c r="L31" i="15"/>
  <c r="K31" i="15"/>
  <c r="M31" i="15"/>
  <c r="J31" i="15"/>
  <c r="I25" i="15"/>
  <c r="L25" i="15"/>
  <c r="K25" i="15"/>
  <c r="M25" i="15"/>
  <c r="J25" i="15"/>
  <c r="I18" i="15"/>
  <c r="L18" i="15"/>
  <c r="K18" i="15"/>
  <c r="J18" i="15"/>
  <c r="M18" i="15"/>
  <c r="I15" i="15"/>
  <c r="L15" i="15"/>
  <c r="K15" i="15"/>
  <c r="M15" i="15"/>
  <c r="J15" i="15"/>
  <c r="I12" i="15"/>
  <c r="L12" i="15"/>
  <c r="K12" i="15"/>
  <c r="M12" i="15"/>
  <c r="J12" i="15"/>
  <c r="I9" i="15"/>
  <c r="L9" i="15"/>
  <c r="K9" i="15"/>
  <c r="J9" i="15"/>
  <c r="M9" i="15"/>
  <c r="Q144" i="19"/>
  <c r="P144" i="19"/>
  <c r="R144" i="19"/>
  <c r="Q157" i="19"/>
  <c r="P157" i="19"/>
  <c r="Q10" i="19"/>
  <c r="R10" i="19"/>
  <c r="O9" i="19"/>
  <c r="P10" i="19"/>
  <c r="Q19" i="19"/>
  <c r="P19" i="19"/>
  <c r="Q29" i="19"/>
  <c r="R29" i="19"/>
  <c r="P29" i="19"/>
  <c r="Q141" i="19"/>
  <c r="P141" i="19"/>
  <c r="Q151" i="19"/>
  <c r="P151" i="19"/>
  <c r="Q160" i="19"/>
  <c r="P160" i="19"/>
  <c r="Q16" i="19"/>
  <c r="R16" i="19"/>
  <c r="P16" i="19"/>
  <c r="Q26" i="19"/>
  <c r="P26" i="19"/>
  <c r="Q11" i="19"/>
  <c r="P11" i="19"/>
  <c r="Q14" i="19"/>
  <c r="P14" i="19"/>
  <c r="Q17" i="19"/>
  <c r="P17" i="19"/>
  <c r="Q20" i="19"/>
  <c r="P20" i="19"/>
  <c r="Q24" i="19"/>
  <c r="P24" i="19"/>
  <c r="O23" i="19"/>
  <c r="Q27" i="19"/>
  <c r="O35" i="19"/>
  <c r="P27" i="19"/>
  <c r="R27" i="19"/>
  <c r="Q30" i="19"/>
  <c r="P30" i="19"/>
  <c r="Q31" i="19"/>
  <c r="R31" i="19"/>
  <c r="P31" i="19"/>
  <c r="Q32" i="19"/>
  <c r="P32" i="19"/>
  <c r="Q33" i="19"/>
  <c r="R33" i="19"/>
  <c r="P33" i="19"/>
  <c r="Q34" i="19"/>
  <c r="P34" i="19"/>
  <c r="Q38" i="19"/>
  <c r="R38" i="19"/>
  <c r="O37" i="19"/>
  <c r="P38" i="19"/>
  <c r="Q39" i="19"/>
  <c r="P39" i="19"/>
  <c r="Q40" i="19"/>
  <c r="R40" i="19"/>
  <c r="P40" i="19"/>
  <c r="Q41" i="19"/>
  <c r="O49" i="19"/>
  <c r="P41" i="19"/>
  <c r="Q42" i="19"/>
  <c r="P42" i="19"/>
  <c r="Q43" i="19"/>
  <c r="P43" i="19"/>
  <c r="Q44" i="19"/>
  <c r="P44" i="19"/>
  <c r="Q45" i="19"/>
  <c r="P45" i="19"/>
  <c r="Q46" i="19"/>
  <c r="P46" i="19"/>
  <c r="Q47" i="19"/>
  <c r="P47" i="19"/>
  <c r="Q48" i="19"/>
  <c r="P48" i="19"/>
  <c r="Q52" i="19"/>
  <c r="O51" i="19"/>
  <c r="P52" i="19"/>
  <c r="Q53" i="19"/>
  <c r="P53" i="19"/>
  <c r="Q54" i="19"/>
  <c r="R54" i="19"/>
  <c r="P54" i="19"/>
  <c r="Q55" i="19"/>
  <c r="O63" i="19"/>
  <c r="P55" i="19"/>
  <c r="Q56" i="19"/>
  <c r="R56" i="19"/>
  <c r="P56" i="19"/>
  <c r="Q57" i="19"/>
  <c r="P57" i="19"/>
  <c r="Q58" i="19"/>
  <c r="R58" i="19"/>
  <c r="P58" i="19"/>
  <c r="Q59" i="19"/>
  <c r="P59" i="19"/>
  <c r="Q60" i="19"/>
  <c r="R60" i="19"/>
  <c r="P60" i="19"/>
  <c r="Q61" i="19"/>
  <c r="P61" i="19"/>
  <c r="Q62" i="19"/>
  <c r="R62" i="19"/>
  <c r="P62" i="19"/>
  <c r="Q66" i="19"/>
  <c r="O65" i="19"/>
  <c r="P66" i="19"/>
  <c r="Q67" i="19"/>
  <c r="P67" i="19"/>
  <c r="Q68" i="19"/>
  <c r="P68" i="19"/>
  <c r="Q69" i="19"/>
  <c r="O77" i="19"/>
  <c r="P69" i="19"/>
  <c r="Q70" i="19"/>
  <c r="R70" i="19"/>
  <c r="P70" i="19"/>
  <c r="Q71" i="19"/>
  <c r="R71" i="19"/>
  <c r="P71" i="19"/>
  <c r="Q72" i="19"/>
  <c r="R72" i="19"/>
  <c r="P72" i="19"/>
  <c r="Q73" i="19"/>
  <c r="R73" i="19"/>
  <c r="P73" i="19"/>
  <c r="Q74" i="19"/>
  <c r="R74" i="19"/>
  <c r="P74" i="19"/>
  <c r="Q75" i="19"/>
  <c r="R75" i="19"/>
  <c r="P75" i="19"/>
  <c r="Q76" i="19"/>
  <c r="R76" i="19"/>
  <c r="P76" i="19"/>
  <c r="Q80" i="19"/>
  <c r="R80" i="19"/>
  <c r="O79" i="19"/>
  <c r="P80" i="19"/>
  <c r="Q81" i="19"/>
  <c r="R81" i="19"/>
  <c r="P81" i="19"/>
  <c r="Q82" i="19"/>
  <c r="P82" i="19"/>
  <c r="Q83" i="19"/>
  <c r="R83" i="19"/>
  <c r="O91" i="19"/>
  <c r="P83" i="19"/>
  <c r="Q84" i="19"/>
  <c r="P84" i="19"/>
  <c r="Q85" i="19"/>
  <c r="P85" i="19"/>
  <c r="Q86" i="19"/>
  <c r="P86" i="19"/>
  <c r="Q87" i="19"/>
  <c r="P87" i="19"/>
  <c r="Q88" i="19"/>
  <c r="P88" i="19"/>
  <c r="Q89" i="19"/>
  <c r="P89" i="19"/>
  <c r="Q90" i="19"/>
  <c r="P90" i="19"/>
  <c r="Q94" i="19"/>
  <c r="O93" i="19"/>
  <c r="P94" i="19"/>
  <c r="Q95" i="19"/>
  <c r="R95" i="19"/>
  <c r="P95" i="19"/>
  <c r="Q96" i="19"/>
  <c r="R96" i="19"/>
  <c r="P96" i="19"/>
  <c r="Q97" i="19"/>
  <c r="R97" i="19"/>
  <c r="O105" i="19"/>
  <c r="P97" i="19"/>
  <c r="Q98" i="19"/>
  <c r="P98" i="19"/>
  <c r="Q99" i="19"/>
  <c r="R99" i="19"/>
  <c r="P99" i="19"/>
  <c r="Q100" i="19"/>
  <c r="P100" i="19"/>
  <c r="Q101" i="19"/>
  <c r="R101" i="19"/>
  <c r="P101" i="19"/>
  <c r="Q102" i="19"/>
  <c r="P102" i="19"/>
  <c r="Q103" i="19"/>
  <c r="R103" i="19"/>
  <c r="P103" i="19"/>
  <c r="Q104" i="19"/>
  <c r="P104" i="19"/>
  <c r="Q108" i="19"/>
  <c r="R108" i="19"/>
  <c r="O107" i="19"/>
  <c r="P108" i="19"/>
  <c r="Q109" i="19"/>
  <c r="P109" i="19"/>
  <c r="Q110" i="19"/>
  <c r="P110" i="19"/>
  <c r="Q111" i="19"/>
  <c r="O119" i="19"/>
  <c r="P111" i="19"/>
  <c r="Q112" i="19"/>
  <c r="R112" i="19"/>
  <c r="P112" i="19"/>
  <c r="Q113" i="19"/>
  <c r="R113" i="19"/>
  <c r="P113" i="19"/>
  <c r="Q114" i="19"/>
  <c r="R114" i="19"/>
  <c r="P114" i="19"/>
  <c r="Q115" i="19"/>
  <c r="R115" i="19"/>
  <c r="P115" i="19"/>
  <c r="Q116" i="19"/>
  <c r="R116" i="19"/>
  <c r="P116" i="19"/>
  <c r="Q117" i="19"/>
  <c r="R117" i="19"/>
  <c r="P117" i="19"/>
  <c r="Q118" i="19"/>
  <c r="R118" i="19"/>
  <c r="P118" i="19"/>
  <c r="Q122" i="19"/>
  <c r="R122" i="19"/>
  <c r="O121" i="19"/>
  <c r="P122" i="19"/>
  <c r="Q123" i="19"/>
  <c r="P123" i="19"/>
  <c r="Q124" i="19"/>
  <c r="R124" i="19"/>
  <c r="P124" i="19"/>
  <c r="Q125" i="19"/>
  <c r="O133" i="19"/>
  <c r="P125" i="19"/>
  <c r="Q126" i="19"/>
  <c r="P126" i="19"/>
  <c r="Q127" i="19"/>
  <c r="P127" i="19"/>
  <c r="Q128" i="19"/>
  <c r="P128" i="19"/>
  <c r="Q129" i="19"/>
  <c r="P129" i="19"/>
  <c r="Q130" i="19"/>
  <c r="P130" i="19"/>
  <c r="Q131" i="19"/>
  <c r="P131" i="19"/>
  <c r="Q132" i="19"/>
  <c r="P132" i="19"/>
  <c r="Q136" i="19"/>
  <c r="O135" i="19"/>
  <c r="P136" i="19"/>
  <c r="Q137" i="19"/>
  <c r="R137" i="19"/>
  <c r="P137" i="19"/>
  <c r="Q138" i="19"/>
  <c r="R138" i="19"/>
  <c r="P138" i="19"/>
  <c r="Q140" i="19"/>
  <c r="R140" i="19"/>
  <c r="P140" i="19"/>
  <c r="Q143" i="19"/>
  <c r="R143" i="19"/>
  <c r="P143" i="19"/>
  <c r="Q146" i="19"/>
  <c r="R146" i="19"/>
  <c r="P146" i="19"/>
  <c r="Q150" i="19"/>
  <c r="R150" i="19"/>
  <c r="O149" i="19"/>
  <c r="P150" i="19"/>
  <c r="Q153" i="19"/>
  <c r="O161" i="19"/>
  <c r="P153" i="19"/>
  <c r="Q156" i="19"/>
  <c r="P156" i="19"/>
  <c r="Q159" i="19"/>
  <c r="P159" i="19"/>
  <c r="Q12" i="19"/>
  <c r="P12" i="19"/>
  <c r="Q15" i="19"/>
  <c r="P15" i="19"/>
  <c r="Q18" i="19"/>
  <c r="P18" i="19"/>
  <c r="Q25" i="19"/>
  <c r="P25" i="19"/>
  <c r="Q28" i="19"/>
  <c r="P28" i="19"/>
  <c r="Q139" i="19"/>
  <c r="P139" i="19"/>
  <c r="O147" i="19"/>
  <c r="N135" i="19"/>
  <c r="N133" i="19"/>
  <c r="N121" i="19"/>
  <c r="N119" i="19"/>
  <c r="N107" i="19"/>
  <c r="N105" i="19"/>
  <c r="N93" i="19"/>
  <c r="N91" i="19"/>
  <c r="N79" i="19"/>
  <c r="N77" i="19"/>
  <c r="N65" i="19"/>
  <c r="N63" i="19"/>
  <c r="N51" i="19"/>
  <c r="N49" i="19"/>
  <c r="N37" i="19"/>
  <c r="N35" i="19"/>
  <c r="N23" i="19"/>
  <c r="N21" i="19"/>
  <c r="N9" i="19"/>
  <c r="N161" i="19"/>
  <c r="N149" i="19"/>
  <c r="M7" i="19"/>
  <c r="N147" i="19"/>
  <c r="Q142" i="19"/>
  <c r="P142" i="19"/>
  <c r="R142" i="19"/>
  <c r="Q145" i="19"/>
  <c r="P145" i="19"/>
  <c r="R145" i="19"/>
  <c r="Q152" i="19"/>
  <c r="P152" i="19"/>
  <c r="R152" i="19"/>
  <c r="Q155" i="19"/>
  <c r="P155" i="19"/>
  <c r="R155" i="19"/>
  <c r="Q158" i="19"/>
  <c r="P158" i="19"/>
  <c r="R158" i="19"/>
  <c r="I150" i="18"/>
  <c r="I33" i="18"/>
  <c r="V10" i="17"/>
  <c r="U10" i="17"/>
  <c r="W10" i="17"/>
  <c r="T9" i="17"/>
  <c r="V12" i="17"/>
  <c r="U12" i="17"/>
  <c r="V14" i="17"/>
  <c r="U14" i="17"/>
  <c r="W14" i="17"/>
  <c r="V16" i="17"/>
  <c r="U16" i="17"/>
  <c r="W16" i="17"/>
  <c r="V18" i="17"/>
  <c r="U18" i="17"/>
  <c r="W18" i="17"/>
  <c r="V20" i="17"/>
  <c r="U20" i="17"/>
  <c r="W20" i="17"/>
  <c r="M154" i="15"/>
  <c r="L154" i="15"/>
  <c r="K154" i="15"/>
  <c r="J154" i="15"/>
  <c r="I154" i="15"/>
  <c r="M141" i="15"/>
  <c r="L141" i="15"/>
  <c r="K141" i="15"/>
  <c r="J141" i="15"/>
  <c r="I141" i="15"/>
  <c r="M128" i="15"/>
  <c r="L128" i="15"/>
  <c r="K128" i="15"/>
  <c r="J128" i="15"/>
  <c r="I128" i="15"/>
  <c r="J107" i="15"/>
  <c r="I107" i="15"/>
  <c r="M107" i="15"/>
  <c r="L107" i="15"/>
  <c r="K107" i="15"/>
  <c r="L102" i="15"/>
  <c r="K102" i="15"/>
  <c r="M102" i="15"/>
  <c r="J102" i="15"/>
  <c r="I102" i="15"/>
  <c r="J87" i="15"/>
  <c r="I87" i="15"/>
  <c r="M87" i="15"/>
  <c r="L87" i="15"/>
  <c r="K87" i="15"/>
  <c r="H91" i="15"/>
  <c r="L83" i="15"/>
  <c r="K83" i="15"/>
  <c r="M83" i="15"/>
  <c r="J83" i="15"/>
  <c r="I83" i="15"/>
  <c r="K69" i="15"/>
  <c r="L69" i="15"/>
  <c r="J69" i="15"/>
  <c r="H77" i="15"/>
  <c r="M69" i="15"/>
  <c r="I69" i="15"/>
  <c r="I67" i="15"/>
  <c r="L67" i="15"/>
  <c r="K67" i="15"/>
  <c r="M67" i="15"/>
  <c r="J67" i="15"/>
  <c r="K59" i="15"/>
  <c r="J59" i="15"/>
  <c r="M59" i="15"/>
  <c r="L59" i="15"/>
  <c r="I59" i="15"/>
  <c r="K53" i="15"/>
  <c r="J53" i="15"/>
  <c r="M53" i="15"/>
  <c r="I53" i="15"/>
  <c r="L53" i="15"/>
  <c r="K46" i="15"/>
  <c r="J46" i="15"/>
  <c r="M46" i="15"/>
  <c r="L46" i="15"/>
  <c r="I46" i="15"/>
  <c r="K40" i="15"/>
  <c r="J40" i="15"/>
  <c r="M40" i="15"/>
  <c r="L40" i="15"/>
  <c r="I40" i="15"/>
  <c r="K33" i="15"/>
  <c r="J33" i="15"/>
  <c r="M33" i="15"/>
  <c r="I33" i="15"/>
  <c r="L33" i="15"/>
  <c r="K27" i="15"/>
  <c r="J27" i="15"/>
  <c r="M27" i="15"/>
  <c r="L27" i="15"/>
  <c r="I27" i="15"/>
  <c r="H35" i="15"/>
  <c r="K20" i="15"/>
  <c r="J20" i="15"/>
  <c r="M20" i="15"/>
  <c r="L20" i="15"/>
  <c r="I20" i="15"/>
  <c r="K17" i="15"/>
  <c r="J17" i="15"/>
  <c r="M17" i="15"/>
  <c r="L17" i="15"/>
  <c r="I17" i="15"/>
  <c r="K14" i="15"/>
  <c r="J14" i="15"/>
  <c r="M14" i="15"/>
  <c r="I14" i="15"/>
  <c r="L14" i="15"/>
  <c r="K11" i="15"/>
  <c r="J11" i="15"/>
  <c r="M11" i="15"/>
  <c r="L11" i="15"/>
  <c r="I11" i="15"/>
  <c r="T14" i="12"/>
  <c r="S14" i="12"/>
  <c r="V14" i="12"/>
  <c r="T12" i="12"/>
  <c r="S12" i="12"/>
  <c r="V12" i="12"/>
  <c r="T10" i="12"/>
  <c r="S10" i="12"/>
  <c r="V10" i="12"/>
  <c r="T7" i="12"/>
  <c r="S7" i="12"/>
  <c r="V7" i="12"/>
  <c r="I88" i="18"/>
  <c r="I30" i="18"/>
  <c r="I14" i="18"/>
  <c r="I27" i="18"/>
  <c r="I46" i="18"/>
  <c r="I66" i="18"/>
  <c r="I85" i="18"/>
  <c r="H132" i="18"/>
  <c r="I124" i="18"/>
  <c r="I143" i="18"/>
  <c r="I13" i="18"/>
  <c r="I24" i="18"/>
  <c r="I43" i="18"/>
  <c r="I82" i="18"/>
  <c r="H90" i="18"/>
  <c r="I101" i="18"/>
  <c r="I121" i="18"/>
  <c r="H120" i="18"/>
  <c r="I140" i="18"/>
  <c r="I11" i="18"/>
  <c r="H48" i="18"/>
  <c r="I40" i="18"/>
  <c r="I59" i="18"/>
  <c r="I79" i="18"/>
  <c r="H78" i="18"/>
  <c r="I98" i="18"/>
  <c r="I117" i="18"/>
  <c r="I137" i="18"/>
  <c r="I156" i="18"/>
  <c r="I17" i="18"/>
  <c r="I37" i="18"/>
  <c r="H36" i="18"/>
  <c r="I56" i="18"/>
  <c r="I75" i="18"/>
  <c r="I95" i="18"/>
  <c r="I114" i="18"/>
  <c r="I153" i="18"/>
  <c r="I19" i="18"/>
  <c r="H34" i="18"/>
  <c r="I26" i="18"/>
  <c r="I32" i="18"/>
  <c r="I39" i="18"/>
  <c r="I45" i="18"/>
  <c r="I52" i="18"/>
  <c r="I58" i="18"/>
  <c r="I65" i="18"/>
  <c r="H64" i="18"/>
  <c r="I71" i="18"/>
  <c r="I84" i="18"/>
  <c r="I97" i="18"/>
  <c r="I103" i="18"/>
  <c r="H118" i="18"/>
  <c r="I110" i="18"/>
  <c r="I116" i="18"/>
  <c r="I123" i="18"/>
  <c r="I129" i="18"/>
  <c r="I136" i="18"/>
  <c r="I142" i="18"/>
  <c r="I149" i="18"/>
  <c r="H148" i="18"/>
  <c r="I155" i="18"/>
  <c r="H20" i="18"/>
  <c r="I12" i="18"/>
  <c r="I18" i="18"/>
  <c r="I25" i="18"/>
  <c r="I31" i="18"/>
  <c r="I38" i="18"/>
  <c r="I44" i="18"/>
  <c r="I51" i="18"/>
  <c r="H50" i="18"/>
  <c r="I57" i="18"/>
  <c r="I70" i="18"/>
  <c r="I83" i="18"/>
  <c r="I89" i="18"/>
  <c r="H104" i="18"/>
  <c r="I96" i="18"/>
  <c r="I102" i="18"/>
  <c r="I109" i="18"/>
  <c r="I115" i="18"/>
  <c r="I122" i="18"/>
  <c r="I128" i="18"/>
  <c r="H134" i="18"/>
  <c r="I135" i="18"/>
  <c r="I141" i="18"/>
  <c r="I154" i="18"/>
  <c r="I158" i="18"/>
  <c r="I10" i="18"/>
  <c r="I16" i="18"/>
  <c r="I23" i="18"/>
  <c r="H22" i="18"/>
  <c r="I29" i="18"/>
  <c r="I42" i="18"/>
  <c r="I55" i="18"/>
  <c r="I61" i="18"/>
  <c r="I68" i="18"/>
  <c r="H76" i="18"/>
  <c r="I74" i="18"/>
  <c r="I81" i="18"/>
  <c r="I87" i="18"/>
  <c r="I94" i="18"/>
  <c r="I100" i="18"/>
  <c r="I107" i="18"/>
  <c r="H106" i="18"/>
  <c r="I113" i="18"/>
  <c r="I126" i="18"/>
  <c r="I139" i="18"/>
  <c r="I145" i="18"/>
  <c r="H160" i="18"/>
  <c r="I152" i="18"/>
  <c r="I9" i="18"/>
  <c r="H8" i="18"/>
  <c r="J65" i="18" s="1"/>
  <c r="I15" i="18"/>
  <c r="I28" i="18"/>
  <c r="J41" i="18"/>
  <c r="I41" i="18"/>
  <c r="I47" i="18"/>
  <c r="H62" i="18"/>
  <c r="I54" i="18"/>
  <c r="I60" i="18"/>
  <c r="I67" i="18"/>
  <c r="I73" i="18"/>
  <c r="I80" i="18"/>
  <c r="I86" i="18"/>
  <c r="I93" i="18"/>
  <c r="H92" i="18"/>
  <c r="I99" i="18"/>
  <c r="I112" i="18"/>
  <c r="J125" i="18"/>
  <c r="I125" i="18"/>
  <c r="I131" i="18"/>
  <c r="I138" i="18"/>
  <c r="H146" i="18"/>
  <c r="I144" i="18"/>
  <c r="I151" i="18"/>
  <c r="I157" i="18"/>
  <c r="I159" i="18"/>
  <c r="V19" i="16"/>
  <c r="W19" i="16"/>
  <c r="U19" i="16"/>
  <c r="K158" i="15"/>
  <c r="J158" i="15"/>
  <c r="I158" i="15"/>
  <c r="L158" i="15"/>
  <c r="M158" i="15"/>
  <c r="K145" i="15"/>
  <c r="J145" i="15"/>
  <c r="I145" i="15"/>
  <c r="L145" i="15"/>
  <c r="M145" i="15"/>
  <c r="K132" i="15"/>
  <c r="J132" i="15"/>
  <c r="I132" i="15"/>
  <c r="L132" i="15"/>
  <c r="M132" i="15"/>
  <c r="M116" i="15"/>
  <c r="L116" i="15"/>
  <c r="K116" i="15"/>
  <c r="I116" i="15"/>
  <c r="J116" i="15"/>
  <c r="K101" i="15"/>
  <c r="J101" i="15"/>
  <c r="M101" i="15"/>
  <c r="I101" i="15"/>
  <c r="L101" i="15"/>
  <c r="M97" i="15"/>
  <c r="H105" i="15"/>
  <c r="L97" i="15"/>
  <c r="K97" i="15"/>
  <c r="I97" i="15"/>
  <c r="J97" i="15"/>
  <c r="K82" i="15"/>
  <c r="J82" i="15"/>
  <c r="M82" i="15"/>
  <c r="I82" i="15"/>
  <c r="L82" i="15"/>
  <c r="M65" i="15"/>
  <c r="L65" i="15"/>
  <c r="K65" i="15"/>
  <c r="I65" i="15"/>
  <c r="J65" i="15"/>
  <c r="L60" i="15"/>
  <c r="K60" i="15"/>
  <c r="I60" i="15"/>
  <c r="M60" i="15"/>
  <c r="J60" i="15"/>
  <c r="L54" i="15"/>
  <c r="K54" i="15"/>
  <c r="I54" i="15"/>
  <c r="M54" i="15"/>
  <c r="J54" i="15"/>
  <c r="L47" i="15"/>
  <c r="K47" i="15"/>
  <c r="I47" i="15"/>
  <c r="J47" i="15"/>
  <c r="M47" i="15"/>
  <c r="H49" i="15"/>
  <c r="L41" i="15"/>
  <c r="K41" i="15"/>
  <c r="I41" i="15"/>
  <c r="M41" i="15"/>
  <c r="J41" i="15"/>
  <c r="L34" i="15"/>
  <c r="K34" i="15"/>
  <c r="I34" i="15"/>
  <c r="M34" i="15"/>
  <c r="J34" i="15"/>
  <c r="L28" i="15"/>
  <c r="K28" i="15"/>
  <c r="I28" i="15"/>
  <c r="J28" i="15"/>
  <c r="M28" i="15"/>
  <c r="I73" i="15"/>
  <c r="L73" i="15"/>
  <c r="K73" i="15"/>
  <c r="M73" i="15"/>
  <c r="J73" i="15"/>
  <c r="I80" i="15"/>
  <c r="J80" i="15"/>
  <c r="M80" i="15"/>
  <c r="L80" i="15"/>
  <c r="K80" i="15"/>
  <c r="I86" i="15"/>
  <c r="M86" i="15"/>
  <c r="K86" i="15"/>
  <c r="J86" i="15"/>
  <c r="L86" i="15"/>
  <c r="I93" i="15"/>
  <c r="L93" i="15"/>
  <c r="K93" i="15"/>
  <c r="M93" i="15"/>
  <c r="J93" i="15"/>
  <c r="I99" i="15"/>
  <c r="J99" i="15"/>
  <c r="M99" i="15"/>
  <c r="L99" i="15"/>
  <c r="K99" i="15"/>
  <c r="I112" i="15"/>
  <c r="L112" i="15"/>
  <c r="K112" i="15"/>
  <c r="J112" i="15"/>
  <c r="M112" i="15"/>
  <c r="I118" i="15"/>
  <c r="J118" i="15"/>
  <c r="M118" i="15"/>
  <c r="L118" i="15"/>
  <c r="K118" i="15"/>
  <c r="J125" i="15"/>
  <c r="I125" i="15"/>
  <c r="K125" i="15"/>
  <c r="M125" i="15"/>
  <c r="H133" i="15"/>
  <c r="L125" i="15"/>
  <c r="J131" i="15"/>
  <c r="I131" i="15"/>
  <c r="M131" i="15"/>
  <c r="K131" i="15"/>
  <c r="L131" i="15"/>
  <c r="J138" i="15"/>
  <c r="I138" i="15"/>
  <c r="K138" i="15"/>
  <c r="M138" i="15"/>
  <c r="L138" i="15"/>
  <c r="J144" i="15"/>
  <c r="I144" i="15"/>
  <c r="M144" i="15"/>
  <c r="K144" i="15"/>
  <c r="L144" i="15"/>
  <c r="J151" i="15"/>
  <c r="I151" i="15"/>
  <c r="K151" i="15"/>
  <c r="M151" i="15"/>
  <c r="L151" i="15"/>
  <c r="J157" i="15"/>
  <c r="I157" i="15"/>
  <c r="M157" i="15"/>
  <c r="K157" i="15"/>
  <c r="L157" i="15"/>
  <c r="I66" i="15"/>
  <c r="L66" i="15"/>
  <c r="K66" i="15"/>
  <c r="M66" i="15"/>
  <c r="J66" i="15"/>
  <c r="M72" i="15"/>
  <c r="L72" i="15"/>
  <c r="J72" i="15"/>
  <c r="I72" i="15"/>
  <c r="K72" i="15"/>
  <c r="M79" i="15"/>
  <c r="K79" i="15"/>
  <c r="J79" i="15"/>
  <c r="L79" i="15"/>
  <c r="I79" i="15"/>
  <c r="M85" i="15"/>
  <c r="I85" i="15"/>
  <c r="L85" i="15"/>
  <c r="K85" i="15"/>
  <c r="J85" i="15"/>
  <c r="M98" i="15"/>
  <c r="K98" i="15"/>
  <c r="J98" i="15"/>
  <c r="L98" i="15"/>
  <c r="I98" i="15"/>
  <c r="M104" i="15"/>
  <c r="I104" i="15"/>
  <c r="L104" i="15"/>
  <c r="K104" i="15"/>
  <c r="J104" i="15"/>
  <c r="M111" i="15"/>
  <c r="L111" i="15"/>
  <c r="J111" i="15"/>
  <c r="I111" i="15"/>
  <c r="H119" i="15"/>
  <c r="K111" i="15"/>
  <c r="M117" i="15"/>
  <c r="K117" i="15"/>
  <c r="J117" i="15"/>
  <c r="I117" i="15"/>
  <c r="L117" i="15"/>
  <c r="I124" i="15"/>
  <c r="M124" i="15"/>
  <c r="J124" i="15"/>
  <c r="L124" i="15"/>
  <c r="K124" i="15"/>
  <c r="I130" i="15"/>
  <c r="M130" i="15"/>
  <c r="L130" i="15"/>
  <c r="J130" i="15"/>
  <c r="K130" i="15"/>
  <c r="I137" i="15"/>
  <c r="M137" i="15"/>
  <c r="J137" i="15"/>
  <c r="L137" i="15"/>
  <c r="K137" i="15"/>
  <c r="I143" i="15"/>
  <c r="M143" i="15"/>
  <c r="L143" i="15"/>
  <c r="J143" i="15"/>
  <c r="K143" i="15"/>
  <c r="I150" i="15"/>
  <c r="M150" i="15"/>
  <c r="J150" i="15"/>
  <c r="L150" i="15"/>
  <c r="K150" i="15"/>
  <c r="I156" i="15"/>
  <c r="M156" i="15"/>
  <c r="L156" i="15"/>
  <c r="J156" i="15"/>
  <c r="K156" i="15"/>
  <c r="M123" i="15"/>
  <c r="L123" i="15"/>
  <c r="I123" i="15"/>
  <c r="K123" i="15"/>
  <c r="J123" i="15"/>
  <c r="M129" i="15"/>
  <c r="L129" i="15"/>
  <c r="K129" i="15"/>
  <c r="I129" i="15"/>
  <c r="J129" i="15"/>
  <c r="M136" i="15"/>
  <c r="L136" i="15"/>
  <c r="I136" i="15"/>
  <c r="K136" i="15"/>
  <c r="J136" i="15"/>
  <c r="M142" i="15"/>
  <c r="L142" i="15"/>
  <c r="K142" i="15"/>
  <c r="I142" i="15"/>
  <c r="J142" i="15"/>
  <c r="M149" i="15"/>
  <c r="L149" i="15"/>
  <c r="I149" i="15"/>
  <c r="K149" i="15"/>
  <c r="J149" i="15"/>
  <c r="M155" i="15"/>
  <c r="L155" i="15"/>
  <c r="K155" i="15"/>
  <c r="I155" i="15"/>
  <c r="J155" i="15"/>
  <c r="L8" i="10"/>
  <c r="L19" i="10"/>
  <c r="L16" i="10"/>
  <c r="L13" i="10"/>
  <c r="L10" i="10"/>
  <c r="L21" i="10"/>
  <c r="L18" i="10"/>
  <c r="L15" i="10"/>
  <c r="L12" i="10"/>
  <c r="L9" i="10"/>
  <c r="L17" i="10"/>
  <c r="L14" i="10"/>
  <c r="L20" i="10"/>
  <c r="L11" i="10"/>
  <c r="I7" i="10"/>
  <c r="N74" i="8"/>
  <c r="N86" i="8"/>
  <c r="N85" i="8"/>
  <c r="N84" i="8"/>
  <c r="N83" i="8"/>
  <c r="N82" i="8"/>
  <c r="N81" i="8"/>
  <c r="N80" i="8"/>
  <c r="N79" i="8"/>
  <c r="N78" i="8"/>
  <c r="N77" i="8"/>
  <c r="N76" i="8"/>
  <c r="N75" i="8"/>
  <c r="K43" i="6"/>
  <c r="I43" i="6"/>
  <c r="J43" i="6"/>
  <c r="K37" i="6"/>
  <c r="I37" i="6"/>
  <c r="J37" i="6"/>
  <c r="K31" i="6"/>
  <c r="I31" i="6"/>
  <c r="J31" i="6"/>
  <c r="K25" i="6"/>
  <c r="I25" i="6"/>
  <c r="J25" i="6"/>
  <c r="K19" i="6"/>
  <c r="I19" i="6"/>
  <c r="J19" i="6"/>
  <c r="K12" i="6"/>
  <c r="I12" i="6"/>
  <c r="J12" i="6"/>
  <c r="U50" i="5"/>
  <c r="W50" i="5"/>
  <c r="V50" i="5"/>
  <c r="T50" i="5"/>
  <c r="S50" i="5"/>
  <c r="U48" i="5"/>
  <c r="W48" i="5"/>
  <c r="S48" i="5"/>
  <c r="T48" i="5"/>
  <c r="V48" i="5"/>
  <c r="U46" i="5"/>
  <c r="W46" i="5"/>
  <c r="V46" i="5"/>
  <c r="T46" i="5"/>
  <c r="S46" i="5"/>
  <c r="U44" i="5"/>
  <c r="W44" i="5"/>
  <c r="S44" i="5"/>
  <c r="T44" i="5"/>
  <c r="V44" i="5"/>
  <c r="U42" i="5"/>
  <c r="W42" i="5"/>
  <c r="T42" i="5"/>
  <c r="V42" i="5"/>
  <c r="S42" i="5"/>
  <c r="U40" i="5"/>
  <c r="W40" i="5"/>
  <c r="S40" i="5"/>
  <c r="T40" i="5"/>
  <c r="V40" i="5"/>
  <c r="U38" i="5"/>
  <c r="W38" i="5"/>
  <c r="T38" i="5"/>
  <c r="V38" i="5"/>
  <c r="S38" i="5"/>
  <c r="U36" i="5"/>
  <c r="W36" i="5"/>
  <c r="S36" i="5"/>
  <c r="T36" i="5"/>
  <c r="V36" i="5"/>
  <c r="U34" i="5"/>
  <c r="W34" i="5"/>
  <c r="V34" i="5"/>
  <c r="T34" i="5"/>
  <c r="S34" i="5"/>
  <c r="U32" i="5"/>
  <c r="W32" i="5"/>
  <c r="S32" i="5"/>
  <c r="T32" i="5"/>
  <c r="V32" i="5"/>
  <c r="U30" i="5"/>
  <c r="W30" i="5"/>
  <c r="T30" i="5"/>
  <c r="V30" i="5"/>
  <c r="S30" i="5"/>
  <c r="U28" i="5"/>
  <c r="W28" i="5"/>
  <c r="S28" i="5"/>
  <c r="T28" i="5"/>
  <c r="V28" i="5"/>
  <c r="U26" i="5"/>
  <c r="W26" i="5"/>
  <c r="T26" i="5"/>
  <c r="V26" i="5"/>
  <c r="S26" i="5"/>
  <c r="U24" i="5"/>
  <c r="W24" i="5"/>
  <c r="S24" i="5"/>
  <c r="T24" i="5"/>
  <c r="V24" i="5"/>
  <c r="U22" i="5"/>
  <c r="W22" i="5"/>
  <c r="V22" i="5"/>
  <c r="T22" i="5"/>
  <c r="S22" i="5"/>
  <c r="U20" i="5"/>
  <c r="W20" i="5"/>
  <c r="S20" i="5"/>
  <c r="T20" i="5"/>
  <c r="V20" i="5"/>
  <c r="U18" i="5"/>
  <c r="W18" i="5"/>
  <c r="T18" i="5"/>
  <c r="V18" i="5"/>
  <c r="S18" i="5"/>
  <c r="H196" i="3"/>
  <c r="H193" i="3"/>
  <c r="H190" i="3"/>
  <c r="H187" i="3"/>
  <c r="F123" i="3"/>
  <c r="F120" i="3"/>
  <c r="F117" i="3"/>
  <c r="F114" i="3"/>
  <c r="K51" i="3"/>
  <c r="J51" i="3"/>
  <c r="K45" i="3"/>
  <c r="J45" i="3"/>
  <c r="F68" i="2"/>
  <c r="I43" i="2"/>
  <c r="L40" i="2"/>
  <c r="K40" i="2"/>
  <c r="J40" i="2"/>
  <c r="L37" i="2"/>
  <c r="K37" i="2"/>
  <c r="J37" i="2"/>
  <c r="J34" i="2"/>
  <c r="K34" i="2"/>
  <c r="L34" i="2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N52" i="8"/>
  <c r="N62" i="8"/>
  <c r="N59" i="8"/>
  <c r="N56" i="8"/>
  <c r="N53" i="8"/>
  <c r="N63" i="8"/>
  <c r="N60" i="8"/>
  <c r="N57" i="8"/>
  <c r="N54" i="8"/>
  <c r="N64" i="8"/>
  <c r="N61" i="8"/>
  <c r="N58" i="8"/>
  <c r="N55" i="8"/>
  <c r="I50" i="6"/>
  <c r="J50" i="6"/>
  <c r="K50" i="6"/>
  <c r="I44" i="6"/>
  <c r="J44" i="6"/>
  <c r="K44" i="6"/>
  <c r="I38" i="6"/>
  <c r="K38" i="6"/>
  <c r="J38" i="6"/>
  <c r="I32" i="6"/>
  <c r="J32" i="6"/>
  <c r="K32" i="6"/>
  <c r="I26" i="6"/>
  <c r="K26" i="6"/>
  <c r="J26" i="6"/>
  <c r="I20" i="6"/>
  <c r="J20" i="6"/>
  <c r="K20" i="6"/>
  <c r="I13" i="6"/>
  <c r="J13" i="6"/>
  <c r="K13" i="6"/>
  <c r="I7" i="6"/>
  <c r="K7" i="6"/>
  <c r="J7" i="6"/>
  <c r="V16" i="5"/>
  <c r="S16" i="5"/>
  <c r="U16" i="5"/>
  <c r="W16" i="5"/>
  <c r="T16" i="5"/>
  <c r="V14" i="5"/>
  <c r="S14" i="5"/>
  <c r="W14" i="5"/>
  <c r="U14" i="5"/>
  <c r="T14" i="5"/>
  <c r="V12" i="5"/>
  <c r="S12" i="5"/>
  <c r="U12" i="5"/>
  <c r="T12" i="5"/>
  <c r="W12" i="5"/>
  <c r="V10" i="5"/>
  <c r="S10" i="5"/>
  <c r="W10" i="5"/>
  <c r="U10" i="5"/>
  <c r="T10" i="5"/>
  <c r="V8" i="5"/>
  <c r="S8" i="5"/>
  <c r="U8" i="5"/>
  <c r="T8" i="5"/>
  <c r="W8" i="5"/>
  <c r="G196" i="3"/>
  <c r="G193" i="3"/>
  <c r="G190" i="3"/>
  <c r="G187" i="3"/>
  <c r="E123" i="3"/>
  <c r="E120" i="3"/>
  <c r="E117" i="3"/>
  <c r="E114" i="3"/>
  <c r="J71" i="3"/>
  <c r="L71" i="3"/>
  <c r="K71" i="3"/>
  <c r="J68" i="3"/>
  <c r="K68" i="3"/>
  <c r="L68" i="3"/>
  <c r="J65" i="3"/>
  <c r="L65" i="3"/>
  <c r="K65" i="3"/>
  <c r="J62" i="3"/>
  <c r="L62" i="3"/>
  <c r="K62" i="3"/>
  <c r="J56" i="3"/>
  <c r="K56" i="3"/>
  <c r="J50" i="3"/>
  <c r="K50" i="3"/>
  <c r="J44" i="3"/>
  <c r="K44" i="3"/>
  <c r="J39" i="3"/>
  <c r="L39" i="3"/>
  <c r="K39" i="3"/>
  <c r="J36" i="3"/>
  <c r="K36" i="3"/>
  <c r="L36" i="3"/>
  <c r="J33" i="3"/>
  <c r="L33" i="3"/>
  <c r="K33" i="3"/>
  <c r="J30" i="3"/>
  <c r="L30" i="3"/>
  <c r="K30" i="3"/>
  <c r="J27" i="3"/>
  <c r="K27" i="3"/>
  <c r="L27" i="3"/>
  <c r="J24" i="3"/>
  <c r="L24" i="3"/>
  <c r="K24" i="3"/>
  <c r="J21" i="3"/>
  <c r="L21" i="3"/>
  <c r="K21" i="3"/>
  <c r="J18" i="3"/>
  <c r="L18" i="3"/>
  <c r="K18" i="3"/>
  <c r="J15" i="3"/>
  <c r="L15" i="3"/>
  <c r="K15" i="3"/>
  <c r="J12" i="3"/>
  <c r="L12" i="3"/>
  <c r="K12" i="3"/>
  <c r="J9" i="3"/>
  <c r="L9" i="3"/>
  <c r="K9" i="3"/>
  <c r="E68" i="2"/>
  <c r="K19" i="16"/>
  <c r="J19" i="16"/>
  <c r="I19" i="16"/>
  <c r="L8" i="12"/>
  <c r="J8" i="12"/>
  <c r="H55" i="12"/>
  <c r="K8" i="12"/>
  <c r="I8" i="12"/>
  <c r="L74" i="10"/>
  <c r="I73" i="10"/>
  <c r="R47" i="6"/>
  <c r="Q47" i="6"/>
  <c r="S47" i="6"/>
  <c r="R35" i="6"/>
  <c r="Q35" i="6"/>
  <c r="S35" i="6"/>
  <c r="R23" i="6"/>
  <c r="Q23" i="6"/>
  <c r="S23" i="6"/>
  <c r="R16" i="6"/>
  <c r="Q16" i="6"/>
  <c r="S16" i="6"/>
  <c r="L17" i="5"/>
  <c r="I17" i="5"/>
  <c r="J17" i="5"/>
  <c r="K17" i="5"/>
  <c r="M17" i="5"/>
  <c r="L19" i="5"/>
  <c r="I19" i="5"/>
  <c r="K19" i="5"/>
  <c r="M19" i="5"/>
  <c r="J19" i="5"/>
  <c r="L21" i="5"/>
  <c r="I21" i="5"/>
  <c r="J21" i="5"/>
  <c r="K21" i="5"/>
  <c r="M21" i="5"/>
  <c r="L23" i="5"/>
  <c r="I23" i="5"/>
  <c r="M23" i="5"/>
  <c r="K23" i="5"/>
  <c r="J23" i="5"/>
  <c r="L25" i="5"/>
  <c r="I25" i="5"/>
  <c r="J25" i="5"/>
  <c r="K25" i="5"/>
  <c r="M25" i="5"/>
  <c r="L27" i="5"/>
  <c r="I27" i="5"/>
  <c r="M27" i="5"/>
  <c r="K27" i="5"/>
  <c r="J27" i="5"/>
  <c r="L29" i="5"/>
  <c r="I29" i="5"/>
  <c r="J29" i="5"/>
  <c r="K29" i="5"/>
  <c r="M29" i="5"/>
  <c r="L31" i="5"/>
  <c r="I31" i="5"/>
  <c r="M31" i="5"/>
  <c r="K31" i="5"/>
  <c r="J31" i="5"/>
  <c r="L33" i="5"/>
  <c r="I33" i="5"/>
  <c r="J33" i="5"/>
  <c r="K33" i="5"/>
  <c r="M33" i="5"/>
  <c r="L35" i="5"/>
  <c r="I35" i="5"/>
  <c r="M35" i="5"/>
  <c r="K35" i="5"/>
  <c r="J35" i="5"/>
  <c r="L37" i="5"/>
  <c r="I37" i="5"/>
  <c r="J37" i="5"/>
  <c r="K37" i="5"/>
  <c r="M37" i="5"/>
  <c r="L39" i="5"/>
  <c r="I39" i="5"/>
  <c r="K39" i="5"/>
  <c r="M39" i="5"/>
  <c r="J39" i="5"/>
  <c r="L41" i="5"/>
  <c r="I41" i="5"/>
  <c r="J41" i="5"/>
  <c r="K41" i="5"/>
  <c r="M41" i="5"/>
  <c r="L43" i="5"/>
  <c r="I43" i="5"/>
  <c r="K43" i="5"/>
  <c r="M43" i="5"/>
  <c r="J43" i="5"/>
  <c r="L45" i="5"/>
  <c r="I45" i="5"/>
  <c r="J45" i="5"/>
  <c r="K45" i="5"/>
  <c r="M45" i="5"/>
  <c r="L47" i="5"/>
  <c r="I47" i="5"/>
  <c r="K47" i="5"/>
  <c r="M47" i="5"/>
  <c r="J47" i="5"/>
  <c r="L49" i="5"/>
  <c r="I49" i="5"/>
  <c r="J49" i="5"/>
  <c r="K49" i="5"/>
  <c r="M49" i="5"/>
  <c r="L51" i="5"/>
  <c r="I51" i="5"/>
  <c r="M51" i="5"/>
  <c r="K51" i="5"/>
  <c r="J51" i="5"/>
  <c r="K217" i="3"/>
  <c r="J217" i="3"/>
  <c r="L217" i="3"/>
  <c r="K214" i="3"/>
  <c r="J214" i="3"/>
  <c r="L214" i="3"/>
  <c r="K211" i="3"/>
  <c r="J211" i="3"/>
  <c r="L211" i="3"/>
  <c r="K208" i="3"/>
  <c r="J208" i="3"/>
  <c r="L208" i="3"/>
  <c r="F190" i="3"/>
  <c r="F189" i="3"/>
  <c r="H123" i="3"/>
  <c r="J123" i="3" s="1"/>
  <c r="H115" i="3"/>
  <c r="H114" i="3"/>
  <c r="L65" i="2"/>
  <c r="K65" i="2"/>
  <c r="J65" i="2"/>
  <c r="I68" i="2"/>
  <c r="I67" i="2"/>
  <c r="L64" i="2"/>
  <c r="J64" i="2"/>
  <c r="K64" i="2"/>
  <c r="J57" i="2"/>
  <c r="K57" i="2"/>
  <c r="L57" i="2"/>
  <c r="J60" i="2"/>
  <c r="K60" i="2"/>
  <c r="L60" i="2"/>
  <c r="J63" i="2"/>
  <c r="L63" i="2"/>
  <c r="K63" i="2"/>
  <c r="J66" i="2"/>
  <c r="K66" i="2"/>
  <c r="J72" i="2"/>
  <c r="L72" i="2"/>
  <c r="K72" i="2"/>
  <c r="F43" i="2"/>
  <c r="F42" i="2"/>
  <c r="H43" i="2"/>
  <c r="J173" i="3"/>
  <c r="K173" i="3"/>
  <c r="L173" i="3"/>
  <c r="L156" i="3"/>
  <c r="K156" i="3"/>
  <c r="J156" i="3"/>
  <c r="J155" i="3"/>
  <c r="K155" i="3"/>
  <c r="L155" i="3"/>
  <c r="L138" i="3"/>
  <c r="K138" i="3"/>
  <c r="J138" i="3"/>
  <c r="J137" i="3"/>
  <c r="K137" i="3"/>
  <c r="L137" i="3"/>
  <c r="L106" i="3"/>
  <c r="K106" i="3"/>
  <c r="J106" i="3"/>
  <c r="I117" i="3"/>
  <c r="J105" i="3"/>
  <c r="K105" i="3"/>
  <c r="I116" i="3"/>
  <c r="L105" i="3"/>
  <c r="L97" i="3"/>
  <c r="K97" i="3"/>
  <c r="J97" i="3"/>
  <c r="J96" i="3"/>
  <c r="K96" i="3"/>
  <c r="L96" i="3"/>
  <c r="L88" i="3"/>
  <c r="K88" i="3"/>
  <c r="J88" i="3"/>
  <c r="J87" i="3"/>
  <c r="K87" i="3"/>
  <c r="L87" i="3"/>
  <c r="J80" i="3"/>
  <c r="L80" i="3"/>
  <c r="K80" i="3"/>
  <c r="J83" i="3"/>
  <c r="L83" i="3"/>
  <c r="K83" i="3"/>
  <c r="J86" i="3"/>
  <c r="K86" i="3"/>
  <c r="L86" i="3"/>
  <c r="J89" i="3"/>
  <c r="L89" i="3"/>
  <c r="K89" i="3"/>
  <c r="J92" i="3"/>
  <c r="L92" i="3"/>
  <c r="K92" i="3"/>
  <c r="J95" i="3"/>
  <c r="K95" i="3"/>
  <c r="L95" i="3"/>
  <c r="J98" i="3"/>
  <c r="L98" i="3"/>
  <c r="K98" i="3"/>
  <c r="J101" i="3"/>
  <c r="L101" i="3"/>
  <c r="K101" i="3"/>
  <c r="J104" i="3"/>
  <c r="I115" i="3"/>
  <c r="K104" i="3"/>
  <c r="L104" i="3"/>
  <c r="J107" i="3"/>
  <c r="I118" i="3"/>
  <c r="L107" i="3"/>
  <c r="K107" i="3"/>
  <c r="J110" i="3"/>
  <c r="L110" i="3"/>
  <c r="K110" i="3"/>
  <c r="I121" i="3"/>
  <c r="J136" i="3"/>
  <c r="K136" i="3"/>
  <c r="L136" i="3"/>
  <c r="J139" i="3"/>
  <c r="L139" i="3"/>
  <c r="K139" i="3"/>
  <c r="J142" i="3"/>
  <c r="L142" i="3"/>
  <c r="K142" i="3"/>
  <c r="J145" i="3"/>
  <c r="K145" i="3"/>
  <c r="L145" i="3"/>
  <c r="H68" i="2"/>
  <c r="V9" i="13"/>
  <c r="U9" i="13"/>
  <c r="W9" i="13"/>
  <c r="V11" i="13"/>
  <c r="U11" i="13"/>
  <c r="W11" i="13"/>
  <c r="V13" i="13"/>
  <c r="U13" i="13"/>
  <c r="W13" i="13"/>
  <c r="V15" i="13"/>
  <c r="U15" i="13"/>
  <c r="W15" i="13"/>
  <c r="V17" i="13"/>
  <c r="U17" i="13"/>
  <c r="W17" i="13"/>
  <c r="V19" i="13"/>
  <c r="U19" i="13"/>
  <c r="W19" i="13"/>
  <c r="V8" i="13"/>
  <c r="U8" i="13"/>
  <c r="W8" i="13"/>
  <c r="V10" i="13"/>
  <c r="U10" i="13"/>
  <c r="W10" i="13"/>
  <c r="V12" i="13"/>
  <c r="U12" i="13"/>
  <c r="T20" i="13"/>
  <c r="W12" i="13"/>
  <c r="V14" i="13"/>
  <c r="U14" i="13"/>
  <c r="W14" i="13"/>
  <c r="V16" i="13"/>
  <c r="U16" i="13"/>
  <c r="W16" i="13"/>
  <c r="V18" i="13"/>
  <c r="U18" i="13"/>
  <c r="W18" i="13"/>
  <c r="F195" i="3"/>
  <c r="F192" i="3"/>
  <c r="F188" i="3"/>
  <c r="F191" i="3"/>
  <c r="F194" i="3"/>
  <c r="H118" i="3"/>
  <c r="G68" i="2"/>
  <c r="G67" i="2"/>
  <c r="L180" i="3"/>
  <c r="K180" i="3"/>
  <c r="I191" i="3"/>
  <c r="J180" i="3"/>
  <c r="L170" i="3"/>
  <c r="K170" i="3"/>
  <c r="J170" i="3"/>
  <c r="L162" i="3"/>
  <c r="K162" i="3"/>
  <c r="J162" i="3"/>
  <c r="J154" i="3"/>
  <c r="K154" i="3"/>
  <c r="L154" i="3"/>
  <c r="J157" i="3"/>
  <c r="L157" i="3"/>
  <c r="K157" i="3"/>
  <c r="J160" i="3"/>
  <c r="L160" i="3"/>
  <c r="K160" i="3"/>
  <c r="J163" i="3"/>
  <c r="K163" i="3"/>
  <c r="L163" i="3"/>
  <c r="J166" i="3"/>
  <c r="L166" i="3"/>
  <c r="K166" i="3"/>
  <c r="J169" i="3"/>
  <c r="L169" i="3"/>
  <c r="K169" i="3"/>
  <c r="J172" i="3"/>
  <c r="K172" i="3"/>
  <c r="L172" i="3"/>
  <c r="I186" i="3"/>
  <c r="J175" i="3"/>
  <c r="L175" i="3"/>
  <c r="K175" i="3"/>
  <c r="I189" i="3"/>
  <c r="J178" i="3"/>
  <c r="L178" i="3"/>
  <c r="K178" i="3"/>
  <c r="I192" i="3"/>
  <c r="J181" i="3"/>
  <c r="K181" i="3"/>
  <c r="L181" i="3"/>
  <c r="I195" i="3"/>
  <c r="J184" i="3"/>
  <c r="K184" i="3"/>
  <c r="L184" i="3"/>
  <c r="J210" i="3"/>
  <c r="L210" i="3"/>
  <c r="K210" i="3"/>
  <c r="J213" i="3"/>
  <c r="L213" i="3"/>
  <c r="K213" i="3"/>
  <c r="J216" i="3"/>
  <c r="L216" i="3"/>
  <c r="K216" i="3"/>
  <c r="L183" i="3"/>
  <c r="I194" i="3"/>
  <c r="K183" i="3"/>
  <c r="J183" i="3"/>
  <c r="L209" i="3"/>
  <c r="K209" i="3"/>
  <c r="J209" i="3"/>
  <c r="L212" i="3"/>
  <c r="K212" i="3"/>
  <c r="J212" i="3"/>
  <c r="L215" i="3"/>
  <c r="K215" i="3"/>
  <c r="J215" i="3"/>
  <c r="L218" i="3"/>
  <c r="K218" i="3"/>
  <c r="J218" i="3"/>
  <c r="J31" i="16"/>
  <c r="I31" i="16"/>
  <c r="J40" i="16"/>
  <c r="I40" i="16"/>
  <c r="K40" i="16"/>
  <c r="J48" i="16"/>
  <c r="I48" i="16"/>
  <c r="J57" i="16"/>
  <c r="I57" i="16"/>
  <c r="K57" i="16"/>
  <c r="J66" i="16"/>
  <c r="I66" i="16"/>
  <c r="H65" i="16"/>
  <c r="J74" i="16"/>
  <c r="I74" i="16"/>
  <c r="J83" i="16"/>
  <c r="I83" i="16"/>
  <c r="H91" i="16"/>
  <c r="J100" i="16"/>
  <c r="I100" i="16"/>
  <c r="J109" i="16"/>
  <c r="I109" i="16"/>
  <c r="K109" i="16"/>
  <c r="J117" i="16"/>
  <c r="I117" i="16"/>
  <c r="J126" i="16"/>
  <c r="I126" i="16"/>
  <c r="K126" i="16"/>
  <c r="J143" i="16"/>
  <c r="I143" i="16"/>
  <c r="J152" i="16"/>
  <c r="I152" i="16"/>
  <c r="K152" i="16"/>
  <c r="J160" i="16"/>
  <c r="I160" i="16"/>
  <c r="J20" i="16"/>
  <c r="I20" i="16"/>
  <c r="K20" i="16"/>
  <c r="J27" i="16"/>
  <c r="I27" i="16"/>
  <c r="H35" i="16"/>
  <c r="J44" i="16"/>
  <c r="I44" i="16"/>
  <c r="K44" i="16"/>
  <c r="J53" i="16"/>
  <c r="I53" i="16"/>
  <c r="J61" i="16"/>
  <c r="I61" i="16"/>
  <c r="K61" i="16"/>
  <c r="J70" i="16"/>
  <c r="I70" i="16"/>
  <c r="J87" i="16"/>
  <c r="I87" i="16"/>
  <c r="K87" i="16"/>
  <c r="J96" i="16"/>
  <c r="I96" i="16"/>
  <c r="J104" i="16"/>
  <c r="I104" i="16"/>
  <c r="K104" i="16"/>
  <c r="J113" i="16"/>
  <c r="I113" i="16"/>
  <c r="J122" i="16"/>
  <c r="I122" i="16"/>
  <c r="K122" i="16"/>
  <c r="H121" i="16"/>
  <c r="J130" i="16"/>
  <c r="I130" i="16"/>
  <c r="J139" i="16"/>
  <c r="I139" i="16"/>
  <c r="H147" i="16"/>
  <c r="J156" i="16"/>
  <c r="I156" i="16"/>
  <c r="K156" i="16"/>
  <c r="K10" i="16"/>
  <c r="J10" i="16"/>
  <c r="H9" i="16"/>
  <c r="K74" i="16" s="1"/>
  <c r="I10" i="16"/>
  <c r="J12" i="16"/>
  <c r="I12" i="16"/>
  <c r="J14" i="16"/>
  <c r="I14" i="16"/>
  <c r="J16" i="16"/>
  <c r="I16" i="16"/>
  <c r="J18" i="16"/>
  <c r="I18" i="16"/>
  <c r="J26" i="16"/>
  <c r="K26" i="16"/>
  <c r="I26" i="16"/>
  <c r="J34" i="16"/>
  <c r="K34" i="16"/>
  <c r="I34" i="16"/>
  <c r="J43" i="16"/>
  <c r="K43" i="16"/>
  <c r="I43" i="16"/>
  <c r="J52" i="16"/>
  <c r="K52" i="16"/>
  <c r="H51" i="16"/>
  <c r="I52" i="16"/>
  <c r="J60" i="16"/>
  <c r="K60" i="16"/>
  <c r="I60" i="16"/>
  <c r="J69" i="16"/>
  <c r="I69" i="16"/>
  <c r="H77" i="16"/>
  <c r="J86" i="16"/>
  <c r="I86" i="16"/>
  <c r="J95" i="16"/>
  <c r="I95" i="16"/>
  <c r="J103" i="16"/>
  <c r="I103" i="16"/>
  <c r="J112" i="16"/>
  <c r="I112" i="16"/>
  <c r="J129" i="16"/>
  <c r="I129" i="16"/>
  <c r="J138" i="16"/>
  <c r="I138" i="16"/>
  <c r="J146" i="16"/>
  <c r="I146" i="16"/>
  <c r="J155" i="16"/>
  <c r="I155" i="16"/>
  <c r="K11" i="16"/>
  <c r="J11" i="16"/>
  <c r="I11" i="16"/>
  <c r="H21" i="16"/>
  <c r="J13" i="16"/>
  <c r="I13" i="16"/>
  <c r="J15" i="16"/>
  <c r="I15" i="16"/>
  <c r="J17" i="16"/>
  <c r="I17" i="16"/>
  <c r="J30" i="16"/>
  <c r="K30" i="16"/>
  <c r="I30" i="16"/>
  <c r="J39" i="16"/>
  <c r="K39" i="16"/>
  <c r="I39" i="16"/>
  <c r="J47" i="16"/>
  <c r="K47" i="16"/>
  <c r="I47" i="16"/>
  <c r="J56" i="16"/>
  <c r="K56" i="16"/>
  <c r="I56" i="16"/>
  <c r="J73" i="16"/>
  <c r="K73" i="16"/>
  <c r="I73" i="16"/>
  <c r="J82" i="16"/>
  <c r="K82" i="16"/>
  <c r="I82" i="16"/>
  <c r="J90" i="16"/>
  <c r="K90" i="16"/>
  <c r="I90" i="16"/>
  <c r="J99" i="16"/>
  <c r="K99" i="16"/>
  <c r="I99" i="16"/>
  <c r="J108" i="16"/>
  <c r="K108" i="16"/>
  <c r="H107" i="16"/>
  <c r="I108" i="16"/>
  <c r="J116" i="16"/>
  <c r="K116" i="16"/>
  <c r="I116" i="16"/>
  <c r="J125" i="16"/>
  <c r="I125" i="16"/>
  <c r="H133" i="16"/>
  <c r="J142" i="16"/>
  <c r="I142" i="16"/>
  <c r="J151" i="16"/>
  <c r="I151" i="16"/>
  <c r="J159" i="16"/>
  <c r="I159" i="16"/>
  <c r="J25" i="16"/>
  <c r="I25" i="16"/>
  <c r="K25" i="16"/>
  <c r="J29" i="16"/>
  <c r="I29" i="16"/>
  <c r="K29" i="16"/>
  <c r="J33" i="16"/>
  <c r="I33" i="16"/>
  <c r="K33" i="16"/>
  <c r="J38" i="16"/>
  <c r="I38" i="16"/>
  <c r="K38" i="16"/>
  <c r="H37" i="16"/>
  <c r="J42" i="16"/>
  <c r="I42" i="16"/>
  <c r="K42" i="16"/>
  <c r="J46" i="16"/>
  <c r="I46" i="16"/>
  <c r="J55" i="16"/>
  <c r="I55" i="16"/>
  <c r="K55" i="16"/>
  <c r="H63" i="16"/>
  <c r="J59" i="16"/>
  <c r="I59" i="16"/>
  <c r="J68" i="16"/>
  <c r="I68" i="16"/>
  <c r="J72" i="16"/>
  <c r="I72" i="16"/>
  <c r="J76" i="16"/>
  <c r="I76" i="16"/>
  <c r="J81" i="16"/>
  <c r="I81" i="16"/>
  <c r="J85" i="16"/>
  <c r="I85" i="16"/>
  <c r="J89" i="16"/>
  <c r="I89" i="16"/>
  <c r="J94" i="16"/>
  <c r="I94" i="16"/>
  <c r="H93" i="16"/>
  <c r="J98" i="16"/>
  <c r="I98" i="16"/>
  <c r="K98" i="16"/>
  <c r="J102" i="16"/>
  <c r="I102" i="16"/>
  <c r="K102" i="16"/>
  <c r="J111" i="16"/>
  <c r="I111" i="16"/>
  <c r="K111" i="16"/>
  <c r="H119" i="16"/>
  <c r="J115" i="16"/>
  <c r="I115" i="16"/>
  <c r="J124" i="16"/>
  <c r="I124" i="16"/>
  <c r="K124" i="16"/>
  <c r="J128" i="16"/>
  <c r="I128" i="16"/>
  <c r="J132" i="16"/>
  <c r="I132" i="16"/>
  <c r="K132" i="16"/>
  <c r="J137" i="16"/>
  <c r="I137" i="16"/>
  <c r="J141" i="16"/>
  <c r="I141" i="16"/>
  <c r="K141" i="16"/>
  <c r="J145" i="16"/>
  <c r="I145" i="16"/>
  <c r="J150" i="16"/>
  <c r="I150" i="16"/>
  <c r="K150" i="16"/>
  <c r="H149" i="16"/>
  <c r="J154" i="16"/>
  <c r="I154" i="16"/>
  <c r="J158" i="16"/>
  <c r="I158" i="16"/>
  <c r="J24" i="16"/>
  <c r="I24" i="16"/>
  <c r="H23" i="16"/>
  <c r="K24" i="16"/>
  <c r="J28" i="16"/>
  <c r="I28" i="16"/>
  <c r="K28" i="16"/>
  <c r="J32" i="16"/>
  <c r="I32" i="16"/>
  <c r="K32" i="16"/>
  <c r="J41" i="16"/>
  <c r="I41" i="16"/>
  <c r="H49" i="16"/>
  <c r="J45" i="16"/>
  <c r="I45" i="16"/>
  <c r="K45" i="16"/>
  <c r="J54" i="16"/>
  <c r="I54" i="16"/>
  <c r="J58" i="16"/>
  <c r="I58" i="16"/>
  <c r="K58" i="16"/>
  <c r="J62" i="16"/>
  <c r="I62" i="16"/>
  <c r="J67" i="16"/>
  <c r="I67" i="16"/>
  <c r="K67" i="16"/>
  <c r="J71" i="16"/>
  <c r="I71" i="16"/>
  <c r="J75" i="16"/>
  <c r="I75" i="16"/>
  <c r="K75" i="16"/>
  <c r="J80" i="16"/>
  <c r="I80" i="16"/>
  <c r="H79" i="16"/>
  <c r="J84" i="16"/>
  <c r="I84" i="16"/>
  <c r="J88" i="16"/>
  <c r="I88" i="16"/>
  <c r="J97" i="16"/>
  <c r="I97" i="16"/>
  <c r="H105" i="16"/>
  <c r="K97" i="16"/>
  <c r="J101" i="16"/>
  <c r="I101" i="16"/>
  <c r="K101" i="16"/>
  <c r="J110" i="16"/>
  <c r="I110" i="16"/>
  <c r="K110" i="16"/>
  <c r="J114" i="16"/>
  <c r="I114" i="16"/>
  <c r="K114" i="16"/>
  <c r="J118" i="16"/>
  <c r="I118" i="16"/>
  <c r="K118" i="16"/>
  <c r="J123" i="16"/>
  <c r="I123" i="16"/>
  <c r="K123" i="16"/>
  <c r="J127" i="16"/>
  <c r="I127" i="16"/>
  <c r="K127" i="16"/>
  <c r="J131" i="16"/>
  <c r="I131" i="16"/>
  <c r="K131" i="16"/>
  <c r="J136" i="16"/>
  <c r="I136" i="16"/>
  <c r="H135" i="16"/>
  <c r="J140" i="16"/>
  <c r="I140" i="16"/>
  <c r="K140" i="16"/>
  <c r="J144" i="16"/>
  <c r="I144" i="16"/>
  <c r="J153" i="16"/>
  <c r="I153" i="16"/>
  <c r="H161" i="16"/>
  <c r="J157" i="16"/>
  <c r="I157" i="16"/>
  <c r="H96" i="10"/>
  <c r="E95" i="10"/>
  <c r="H108" i="10"/>
  <c r="H105" i="10"/>
  <c r="H102" i="10"/>
  <c r="H99" i="10"/>
  <c r="H107" i="10"/>
  <c r="H101" i="10"/>
  <c r="H98" i="10"/>
  <c r="H104" i="10"/>
  <c r="H109" i="10"/>
  <c r="H106" i="10"/>
  <c r="H103" i="10"/>
  <c r="H100" i="10"/>
  <c r="H97" i="10"/>
  <c r="L52" i="10"/>
  <c r="I51" i="10"/>
  <c r="Q49" i="6"/>
  <c r="S49" i="6"/>
  <c r="R49" i="6"/>
  <c r="Q37" i="6"/>
  <c r="S37" i="6"/>
  <c r="R37" i="6"/>
  <c r="Q25" i="6"/>
  <c r="S25" i="6"/>
  <c r="R25" i="6"/>
  <c r="I17" i="6"/>
  <c r="K17" i="6"/>
  <c r="J17" i="6"/>
  <c r="Q9" i="6"/>
  <c r="R9" i="6"/>
  <c r="S9" i="6"/>
  <c r="Q15" i="6"/>
  <c r="R15" i="6"/>
  <c r="S15" i="6"/>
  <c r="Q22" i="6"/>
  <c r="S22" i="6"/>
  <c r="R22" i="6"/>
  <c r="Q28" i="6"/>
  <c r="R28" i="6"/>
  <c r="S28" i="6"/>
  <c r="Q34" i="6"/>
  <c r="S34" i="6"/>
  <c r="R34" i="6"/>
  <c r="Q40" i="6"/>
  <c r="R40" i="6"/>
  <c r="S40" i="6"/>
  <c r="Q46" i="6"/>
  <c r="R46" i="6"/>
  <c r="S46" i="6"/>
  <c r="S52" i="6"/>
  <c r="Q52" i="6"/>
  <c r="R52" i="6"/>
  <c r="S8" i="6"/>
  <c r="Q8" i="6"/>
  <c r="R8" i="6"/>
  <c r="S14" i="6"/>
  <c r="Q14" i="6"/>
  <c r="R14" i="6"/>
  <c r="S21" i="6"/>
  <c r="Q21" i="6"/>
  <c r="R21" i="6"/>
  <c r="S27" i="6"/>
  <c r="Q27" i="6"/>
  <c r="R27" i="6"/>
  <c r="S33" i="6"/>
  <c r="Q33" i="6"/>
  <c r="R33" i="6"/>
  <c r="S39" i="6"/>
  <c r="R39" i="6"/>
  <c r="Q39" i="6"/>
  <c r="S45" i="6"/>
  <c r="Q45" i="6"/>
  <c r="R45" i="6"/>
  <c r="S51" i="6"/>
  <c r="R51" i="6"/>
  <c r="Q51" i="6"/>
  <c r="S11" i="6"/>
  <c r="R11" i="6"/>
  <c r="Q11" i="6"/>
  <c r="S18" i="6"/>
  <c r="R18" i="6"/>
  <c r="Q18" i="6"/>
  <c r="S24" i="6"/>
  <c r="R24" i="6"/>
  <c r="Q24" i="6"/>
  <c r="S30" i="6"/>
  <c r="R30" i="6"/>
  <c r="Q30" i="6"/>
  <c r="S36" i="6"/>
  <c r="R36" i="6"/>
  <c r="Q36" i="6"/>
  <c r="S42" i="6"/>
  <c r="R42" i="6"/>
  <c r="Q42" i="6"/>
  <c r="S48" i="6"/>
  <c r="R48" i="6"/>
  <c r="Q48" i="6"/>
  <c r="L165" i="3"/>
  <c r="K165" i="3"/>
  <c r="J165" i="3"/>
  <c r="J164" i="3"/>
  <c r="K164" i="3"/>
  <c r="L164" i="3"/>
  <c r="H67" i="2"/>
  <c r="S11" i="14"/>
  <c r="T11" i="14"/>
  <c r="S13" i="14"/>
  <c r="T13" i="14"/>
  <c r="S15" i="14"/>
  <c r="R23" i="14"/>
  <c r="T15" i="14"/>
  <c r="S17" i="14"/>
  <c r="T17" i="14"/>
  <c r="S19" i="14"/>
  <c r="T19" i="14"/>
  <c r="S21" i="14"/>
  <c r="T21" i="14"/>
  <c r="S12" i="14"/>
  <c r="T12" i="14"/>
  <c r="S14" i="14"/>
  <c r="T14" i="14"/>
  <c r="S16" i="14"/>
  <c r="T16" i="14"/>
  <c r="S18" i="14"/>
  <c r="T18" i="14"/>
  <c r="S20" i="14"/>
  <c r="T20" i="14"/>
  <c r="S22" i="14"/>
  <c r="T22" i="14"/>
  <c r="H285" i="8"/>
  <c r="H284" i="8"/>
  <c r="H283" i="8"/>
  <c r="H282" i="8"/>
  <c r="H281" i="8"/>
  <c r="H280" i="8"/>
  <c r="H279" i="8"/>
  <c r="H278" i="8"/>
  <c r="H277" i="8"/>
  <c r="H276" i="8"/>
  <c r="H275" i="8"/>
  <c r="H274" i="8"/>
  <c r="H273" i="8"/>
  <c r="G227" i="8"/>
  <c r="H228" i="8" s="1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G161" i="8"/>
  <c r="H162" i="8" s="1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G271" i="8"/>
  <c r="H272" i="8" s="1"/>
  <c r="H263" i="8"/>
  <c r="H262" i="8"/>
  <c r="H261" i="8"/>
  <c r="H260" i="8"/>
  <c r="H259" i="8"/>
  <c r="H258" i="8"/>
  <c r="H257" i="8"/>
  <c r="H256" i="8"/>
  <c r="H255" i="8"/>
  <c r="H254" i="8"/>
  <c r="H253" i="8"/>
  <c r="H252" i="8"/>
  <c r="H251" i="8"/>
  <c r="G205" i="8"/>
  <c r="H206" i="8" s="1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G249" i="8"/>
  <c r="H250" i="8" s="1"/>
  <c r="G183" i="8"/>
  <c r="H184" i="8" s="1"/>
  <c r="G73" i="8"/>
  <c r="H239" i="8"/>
  <c r="H236" i="8"/>
  <c r="H233" i="8"/>
  <c r="H230" i="8"/>
  <c r="H173" i="8"/>
  <c r="H170" i="8"/>
  <c r="H167" i="8"/>
  <c r="H164" i="8"/>
  <c r="H130" i="8"/>
  <c r="H127" i="8"/>
  <c r="H124" i="8"/>
  <c r="H121" i="8"/>
  <c r="H109" i="8"/>
  <c r="H106" i="8"/>
  <c r="H103" i="8"/>
  <c r="G51" i="8"/>
  <c r="H241" i="8"/>
  <c r="H238" i="8"/>
  <c r="H235" i="8"/>
  <c r="H232" i="8"/>
  <c r="H229" i="8"/>
  <c r="H175" i="8"/>
  <c r="H172" i="8"/>
  <c r="H169" i="8"/>
  <c r="H166" i="8"/>
  <c r="H163" i="8"/>
  <c r="H131" i="8"/>
  <c r="H128" i="8"/>
  <c r="H125" i="8"/>
  <c r="H122" i="8"/>
  <c r="H119" i="8"/>
  <c r="G117" i="8"/>
  <c r="H118" i="8" s="1"/>
  <c r="H107" i="8"/>
  <c r="H104" i="8"/>
  <c r="H101" i="8"/>
  <c r="H100" i="8"/>
  <c r="H99" i="8"/>
  <c r="H98" i="8"/>
  <c r="H97" i="8"/>
  <c r="H8" i="8"/>
  <c r="G139" i="8"/>
  <c r="H140" i="8" s="1"/>
  <c r="E7" i="8"/>
  <c r="H168" i="8"/>
  <c r="H126" i="8"/>
  <c r="H174" i="8"/>
  <c r="H129" i="8"/>
  <c r="H237" i="8"/>
  <c r="H102" i="8"/>
  <c r="G95" i="8"/>
  <c r="H96" i="8" s="1"/>
  <c r="H165" i="8"/>
  <c r="H120" i="8"/>
  <c r="H234" i="8"/>
  <c r="H105" i="8"/>
  <c r="H240" i="8"/>
  <c r="H231" i="8"/>
  <c r="H108" i="8"/>
  <c r="H171" i="8"/>
  <c r="H123" i="8"/>
  <c r="G29" i="8"/>
  <c r="H30" i="8" s="1"/>
  <c r="J52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87" i="8"/>
  <c r="H117" i="3"/>
  <c r="H113" i="3"/>
  <c r="J113" i="3" s="1"/>
  <c r="H116" i="3"/>
  <c r="H119" i="3"/>
  <c r="H122" i="3"/>
  <c r="J85" i="8"/>
  <c r="J82" i="8"/>
  <c r="J79" i="8"/>
  <c r="J76" i="8"/>
  <c r="J77" i="8"/>
  <c r="J74" i="8"/>
  <c r="J86" i="8"/>
  <c r="J83" i="8"/>
  <c r="J80" i="8"/>
  <c r="J84" i="8"/>
  <c r="J81" i="8"/>
  <c r="J78" i="8"/>
  <c r="J75" i="8"/>
  <c r="R29" i="6"/>
  <c r="Q29" i="6"/>
  <c r="S29" i="6"/>
  <c r="J21" i="6"/>
  <c r="I21" i="6"/>
  <c r="K21" i="6"/>
  <c r="R17" i="6"/>
  <c r="Q17" i="6"/>
  <c r="S17" i="6"/>
  <c r="R10" i="6"/>
  <c r="Q10" i="6"/>
  <c r="S10" i="6"/>
  <c r="K185" i="3"/>
  <c r="I196" i="3"/>
  <c r="J185" i="3"/>
  <c r="L185" i="3"/>
  <c r="E195" i="3"/>
  <c r="K182" i="3"/>
  <c r="L182" i="3"/>
  <c r="J182" i="3"/>
  <c r="I193" i="3"/>
  <c r="E192" i="3"/>
  <c r="L177" i="3"/>
  <c r="I188" i="3"/>
  <c r="K177" i="3"/>
  <c r="J177" i="3"/>
  <c r="L176" i="3"/>
  <c r="I187" i="3"/>
  <c r="K176" i="3"/>
  <c r="J176" i="3"/>
  <c r="L168" i="3"/>
  <c r="K168" i="3"/>
  <c r="J168" i="3"/>
  <c r="L167" i="3"/>
  <c r="J167" i="3"/>
  <c r="K167" i="3"/>
  <c r="L159" i="3"/>
  <c r="K159" i="3"/>
  <c r="J159" i="3"/>
  <c r="L158" i="3"/>
  <c r="K158" i="3"/>
  <c r="J158" i="3"/>
  <c r="E188" i="3"/>
  <c r="E191" i="3"/>
  <c r="E194" i="3"/>
  <c r="E193" i="3"/>
  <c r="E196" i="3"/>
  <c r="L140" i="3"/>
  <c r="K140" i="3"/>
  <c r="J140" i="3"/>
  <c r="I120" i="3"/>
  <c r="L109" i="3"/>
  <c r="K109" i="3"/>
  <c r="J109" i="3"/>
  <c r="I119" i="3"/>
  <c r="L108" i="3"/>
  <c r="K108" i="3"/>
  <c r="J108" i="3"/>
  <c r="G118" i="3"/>
  <c r="G117" i="3"/>
  <c r="L100" i="3"/>
  <c r="K100" i="3"/>
  <c r="J100" i="3"/>
  <c r="L99" i="3"/>
  <c r="K99" i="3"/>
  <c r="J99" i="3"/>
  <c r="L91" i="3"/>
  <c r="K91" i="3"/>
  <c r="J91" i="3"/>
  <c r="L90" i="3"/>
  <c r="K90" i="3"/>
  <c r="J90" i="3"/>
  <c r="L82" i="3"/>
  <c r="K82" i="3"/>
  <c r="J82" i="3"/>
  <c r="L81" i="3"/>
  <c r="K81" i="3"/>
  <c r="J81" i="3"/>
  <c r="G113" i="3"/>
  <c r="G116" i="3"/>
  <c r="G119" i="3"/>
  <c r="G122" i="3"/>
  <c r="E42" i="2"/>
  <c r="K20" i="2"/>
  <c r="J20" i="2"/>
  <c r="K16" i="2"/>
  <c r="J16" i="2"/>
  <c r="I18" i="2"/>
  <c r="L15" i="2"/>
  <c r="K15" i="2"/>
  <c r="J15" i="2"/>
  <c r="I17" i="2"/>
  <c r="L14" i="2"/>
  <c r="K14" i="2"/>
  <c r="J14" i="2"/>
  <c r="J23" i="2"/>
  <c r="K23" i="2"/>
  <c r="L23" i="2"/>
  <c r="J30" i="10"/>
  <c r="J42" i="10"/>
  <c r="J39" i="10"/>
  <c r="J36" i="10"/>
  <c r="J33" i="10"/>
  <c r="G29" i="10"/>
  <c r="J43" i="10"/>
  <c r="J40" i="10"/>
  <c r="J37" i="10"/>
  <c r="J34" i="10"/>
  <c r="J31" i="10"/>
  <c r="J38" i="10"/>
  <c r="J35" i="10"/>
  <c r="J41" i="10"/>
  <c r="J32" i="10"/>
  <c r="L179" i="3"/>
  <c r="I190" i="3"/>
  <c r="K179" i="3"/>
  <c r="J179" i="3"/>
  <c r="L171" i="3"/>
  <c r="K171" i="3"/>
  <c r="J171" i="3"/>
  <c r="L161" i="3"/>
  <c r="K161" i="3"/>
  <c r="J161" i="3"/>
  <c r="L153" i="3"/>
  <c r="K153" i="3"/>
  <c r="J153" i="3"/>
  <c r="X12" i="15"/>
  <c r="W12" i="15"/>
  <c r="Y12" i="15"/>
  <c r="X9" i="15"/>
  <c r="W9" i="15"/>
  <c r="Y9" i="15"/>
  <c r="X18" i="15"/>
  <c r="W18" i="15"/>
  <c r="Y18" i="15"/>
  <c r="Y11" i="15"/>
  <c r="W11" i="15"/>
  <c r="X11" i="15"/>
  <c r="Y14" i="15"/>
  <c r="W14" i="15"/>
  <c r="X14" i="15"/>
  <c r="Y17" i="15"/>
  <c r="W17" i="15"/>
  <c r="X17" i="15"/>
  <c r="Y20" i="15"/>
  <c r="W20" i="15"/>
  <c r="X20" i="15"/>
  <c r="Y10" i="15"/>
  <c r="X10" i="15"/>
  <c r="W10" i="15"/>
  <c r="Y13" i="15"/>
  <c r="X13" i="15"/>
  <c r="W13" i="15"/>
  <c r="V21" i="15"/>
  <c r="Y16" i="15"/>
  <c r="X16" i="15"/>
  <c r="W16" i="15"/>
  <c r="Y19" i="15"/>
  <c r="X19" i="15"/>
  <c r="W19" i="15"/>
  <c r="L11" i="12"/>
  <c r="K11" i="12"/>
  <c r="I11" i="12"/>
  <c r="J11" i="12"/>
  <c r="L15" i="12"/>
  <c r="K15" i="12"/>
  <c r="I15" i="12"/>
  <c r="J15" i="12"/>
  <c r="L18" i="12"/>
  <c r="K18" i="12"/>
  <c r="I18" i="12"/>
  <c r="J18" i="12"/>
  <c r="L21" i="12"/>
  <c r="K21" i="12"/>
  <c r="I21" i="12"/>
  <c r="J21" i="12"/>
  <c r="L24" i="12"/>
  <c r="K24" i="12"/>
  <c r="I24" i="12"/>
  <c r="J24" i="12"/>
  <c r="L27" i="12"/>
  <c r="K27" i="12"/>
  <c r="I27" i="12"/>
  <c r="J27" i="12"/>
  <c r="L30" i="12"/>
  <c r="K30" i="12"/>
  <c r="I30" i="12"/>
  <c r="J30" i="12"/>
  <c r="L33" i="12"/>
  <c r="K33" i="12"/>
  <c r="I33" i="12"/>
  <c r="J33" i="12"/>
  <c r="L36" i="12"/>
  <c r="K36" i="12"/>
  <c r="I36" i="12"/>
  <c r="J36" i="12"/>
  <c r="L39" i="12"/>
  <c r="K39" i="12"/>
  <c r="I39" i="12"/>
  <c r="J39" i="12"/>
  <c r="L42" i="12"/>
  <c r="K42" i="12"/>
  <c r="I42" i="12"/>
  <c r="J42" i="12"/>
  <c r="L45" i="12"/>
  <c r="K45" i="12"/>
  <c r="I45" i="12"/>
  <c r="J45" i="12"/>
  <c r="L48" i="12"/>
  <c r="K48" i="12"/>
  <c r="I48" i="12"/>
  <c r="J48" i="12"/>
  <c r="L51" i="12"/>
  <c r="K51" i="12"/>
  <c r="I51" i="12"/>
  <c r="J51" i="12"/>
  <c r="L13" i="12"/>
  <c r="K13" i="12"/>
  <c r="I13" i="12"/>
  <c r="J13" i="12"/>
  <c r="J16" i="12"/>
  <c r="I16" i="12"/>
  <c r="L16" i="12"/>
  <c r="K16" i="12"/>
  <c r="J19" i="12"/>
  <c r="I19" i="12"/>
  <c r="L19" i="12"/>
  <c r="K19" i="12"/>
  <c r="J22" i="12"/>
  <c r="I22" i="12"/>
  <c r="L22" i="12"/>
  <c r="K22" i="12"/>
  <c r="J25" i="12"/>
  <c r="I25" i="12"/>
  <c r="L25" i="12"/>
  <c r="K25" i="12"/>
  <c r="J28" i="12"/>
  <c r="I28" i="12"/>
  <c r="L28" i="12"/>
  <c r="K28" i="12"/>
  <c r="J31" i="12"/>
  <c r="I31" i="12"/>
  <c r="L31" i="12"/>
  <c r="K31" i="12"/>
  <c r="J34" i="12"/>
  <c r="I34" i="12"/>
  <c r="L34" i="12"/>
  <c r="K34" i="12"/>
  <c r="J37" i="12"/>
  <c r="I37" i="12"/>
  <c r="L37" i="12"/>
  <c r="K37" i="12"/>
  <c r="J40" i="12"/>
  <c r="I40" i="12"/>
  <c r="L40" i="12"/>
  <c r="K40" i="12"/>
  <c r="J43" i="12"/>
  <c r="I43" i="12"/>
  <c r="L43" i="12"/>
  <c r="K43" i="12"/>
  <c r="J46" i="12"/>
  <c r="I46" i="12"/>
  <c r="L46" i="12"/>
  <c r="K46" i="12"/>
  <c r="J49" i="12"/>
  <c r="I49" i="12"/>
  <c r="L49" i="12"/>
  <c r="K49" i="12"/>
  <c r="J52" i="12"/>
  <c r="I52" i="12"/>
  <c r="L52" i="12"/>
  <c r="K52" i="12"/>
  <c r="H53" i="12"/>
  <c r="K6" i="12"/>
  <c r="J6" i="12"/>
  <c r="I6" i="12"/>
  <c r="L6" i="12"/>
  <c r="H56" i="12"/>
  <c r="K9" i="12"/>
  <c r="J9" i="12"/>
  <c r="I9" i="12"/>
  <c r="L9" i="12"/>
  <c r="I7" i="12"/>
  <c r="L7" i="12"/>
  <c r="K7" i="12"/>
  <c r="H54" i="12"/>
  <c r="J7" i="12"/>
  <c r="I10" i="12"/>
  <c r="L10" i="12"/>
  <c r="K10" i="12"/>
  <c r="J10" i="12"/>
  <c r="I12" i="12"/>
  <c r="L12" i="12"/>
  <c r="K12" i="12"/>
  <c r="J12" i="12"/>
  <c r="I14" i="12"/>
  <c r="L14" i="12"/>
  <c r="K14" i="12"/>
  <c r="J14" i="12"/>
  <c r="K17" i="12"/>
  <c r="L17" i="12"/>
  <c r="J17" i="12"/>
  <c r="I17" i="12"/>
  <c r="K20" i="12"/>
  <c r="L20" i="12"/>
  <c r="J20" i="12"/>
  <c r="I20" i="12"/>
  <c r="K23" i="12"/>
  <c r="L23" i="12"/>
  <c r="J23" i="12"/>
  <c r="I23" i="12"/>
  <c r="K26" i="12"/>
  <c r="L26" i="12"/>
  <c r="J26" i="12"/>
  <c r="I26" i="12"/>
  <c r="K29" i="12"/>
  <c r="L29" i="12"/>
  <c r="J29" i="12"/>
  <c r="I29" i="12"/>
  <c r="K32" i="12"/>
  <c r="L32" i="12"/>
  <c r="J32" i="12"/>
  <c r="I32" i="12"/>
  <c r="K35" i="12"/>
  <c r="L35" i="12"/>
  <c r="J35" i="12"/>
  <c r="I35" i="12"/>
  <c r="K38" i="12"/>
  <c r="L38" i="12"/>
  <c r="J38" i="12"/>
  <c r="I38" i="12"/>
  <c r="K41" i="12"/>
  <c r="L41" i="12"/>
  <c r="J41" i="12"/>
  <c r="I41" i="12"/>
  <c r="K44" i="12"/>
  <c r="L44" i="12"/>
  <c r="J44" i="12"/>
  <c r="I44" i="12"/>
  <c r="K47" i="12"/>
  <c r="L47" i="12"/>
  <c r="J47" i="12"/>
  <c r="I47" i="12"/>
  <c r="K50" i="12"/>
  <c r="L50" i="12"/>
  <c r="J50" i="12"/>
  <c r="I50" i="12"/>
  <c r="Q43" i="6"/>
  <c r="S43" i="6"/>
  <c r="R43" i="6"/>
  <c r="Q31" i="6"/>
  <c r="S31" i="6"/>
  <c r="R31" i="6"/>
  <c r="Q19" i="6"/>
  <c r="S19" i="6"/>
  <c r="R19" i="6"/>
  <c r="J10" i="5"/>
  <c r="M10" i="5"/>
  <c r="L10" i="5"/>
  <c r="K10" i="5"/>
  <c r="I10" i="5"/>
  <c r="F196" i="3"/>
  <c r="F193" i="3"/>
  <c r="F187" i="3"/>
  <c r="F186" i="3"/>
  <c r="H121" i="3"/>
  <c r="H120" i="3"/>
  <c r="L73" i="2"/>
  <c r="K73" i="2"/>
  <c r="J73" i="2"/>
  <c r="L62" i="2"/>
  <c r="K62" i="2"/>
  <c r="J62" i="2"/>
  <c r="L61" i="2"/>
  <c r="K61" i="2"/>
  <c r="J61" i="2"/>
  <c r="H42" i="2"/>
  <c r="N16" i="47"/>
  <c r="M16" i="47"/>
  <c r="L16" i="47"/>
  <c r="T16" i="47"/>
  <c r="Q16" i="47"/>
  <c r="S16" i="47"/>
  <c r="P16" i="47"/>
  <c r="R16" i="47"/>
  <c r="J16" i="46"/>
  <c r="I16" i="46"/>
  <c r="H16" i="46"/>
  <c r="P16" i="46"/>
  <c r="S16" i="46"/>
  <c r="T16" i="46"/>
  <c r="R16" i="46"/>
  <c r="Q16" i="46"/>
  <c r="M16" i="46"/>
  <c r="L16" i="46"/>
  <c r="N16" i="46"/>
  <c r="O146" i="46"/>
  <c r="L146" i="46"/>
  <c r="N146" i="46"/>
  <c r="M146" i="46"/>
  <c r="N146" i="45"/>
  <c r="O146" i="45"/>
  <c r="M146" i="45"/>
  <c r="L146" i="45"/>
  <c r="M16" i="45"/>
  <c r="N16" i="45"/>
  <c r="L16" i="45"/>
  <c r="I11" i="41"/>
  <c r="H11" i="41"/>
  <c r="G11" i="41"/>
  <c r="L11" i="41"/>
  <c r="K11" i="41"/>
  <c r="M11" i="41"/>
  <c r="R11" i="41"/>
  <c r="S11" i="41"/>
  <c r="Q11" i="41"/>
  <c r="T11" i="41"/>
  <c r="P11" i="41"/>
  <c r="O11" i="41"/>
  <c r="H16" i="47"/>
  <c r="J16" i="47"/>
  <c r="I16" i="47"/>
  <c r="G129" i="41"/>
  <c r="I129" i="41"/>
  <c r="H129" i="41"/>
  <c r="I48" i="30"/>
  <c r="M48" i="30"/>
  <c r="L48" i="30"/>
  <c r="K48" i="30"/>
  <c r="J48" i="30"/>
  <c r="J161" i="22"/>
  <c r="L161" i="22"/>
  <c r="K161" i="22"/>
  <c r="L147" i="22"/>
  <c r="K147" i="22"/>
  <c r="J147" i="22"/>
  <c r="K76" i="23"/>
  <c r="J76" i="23"/>
  <c r="I76" i="23"/>
  <c r="J48" i="23"/>
  <c r="K48" i="23"/>
  <c r="I48" i="23"/>
  <c r="L133" i="22"/>
  <c r="K133" i="22"/>
  <c r="J133" i="22"/>
  <c r="J119" i="22"/>
  <c r="L119" i="22"/>
  <c r="K119" i="22"/>
  <c r="L105" i="22"/>
  <c r="J105" i="22"/>
  <c r="K105" i="22"/>
  <c r="I34" i="23"/>
  <c r="K34" i="23"/>
  <c r="J34" i="23"/>
  <c r="Y76" i="18"/>
  <c r="X76" i="18"/>
  <c r="Y22" i="18"/>
  <c r="X22" i="18"/>
  <c r="J161" i="17"/>
  <c r="I161" i="17"/>
  <c r="K161" i="17"/>
  <c r="J135" i="17"/>
  <c r="K135" i="17"/>
  <c r="I135" i="17"/>
  <c r="J105" i="17"/>
  <c r="I105" i="17"/>
  <c r="K105" i="17"/>
  <c r="J79" i="17"/>
  <c r="K79" i="17"/>
  <c r="I79" i="17"/>
  <c r="J49" i="17"/>
  <c r="I49" i="17"/>
  <c r="K49" i="17"/>
  <c r="J23" i="17"/>
  <c r="K23" i="17"/>
  <c r="I23" i="17"/>
  <c r="X36" i="18"/>
  <c r="Y36" i="18"/>
  <c r="H147" i="19"/>
  <c r="X78" i="18"/>
  <c r="Y78" i="18"/>
  <c r="X48" i="18"/>
  <c r="Y48" i="18"/>
  <c r="J149" i="17"/>
  <c r="I149" i="17"/>
  <c r="K149" i="17"/>
  <c r="J119" i="17"/>
  <c r="K119" i="17"/>
  <c r="I119" i="17"/>
  <c r="J93" i="17"/>
  <c r="I93" i="17"/>
  <c r="K93" i="17"/>
  <c r="J63" i="17"/>
  <c r="K63" i="17"/>
  <c r="I63" i="17"/>
  <c r="J37" i="17"/>
  <c r="I37" i="17"/>
  <c r="K37" i="17"/>
  <c r="J21" i="17"/>
  <c r="K21" i="17"/>
  <c r="I21" i="17"/>
  <c r="X120" i="18"/>
  <c r="Y120" i="18"/>
  <c r="X90" i="18"/>
  <c r="Y90" i="18"/>
  <c r="J133" i="17"/>
  <c r="I133" i="17"/>
  <c r="K133" i="17"/>
  <c r="J107" i="17"/>
  <c r="K107" i="17"/>
  <c r="I107" i="17"/>
  <c r="J77" i="17"/>
  <c r="I77" i="17"/>
  <c r="K77" i="17"/>
  <c r="J51" i="17"/>
  <c r="K51" i="17"/>
  <c r="I51" i="17"/>
  <c r="Q118" i="18"/>
  <c r="R118" i="18"/>
  <c r="J35" i="17"/>
  <c r="K35" i="17"/>
  <c r="I35" i="17"/>
  <c r="J163" i="14"/>
  <c r="I163" i="14"/>
  <c r="J121" i="14"/>
  <c r="I121" i="14"/>
  <c r="J79" i="14"/>
  <c r="I79" i="14"/>
  <c r="J37" i="14"/>
  <c r="I37" i="14"/>
  <c r="J147" i="17"/>
  <c r="K147" i="17"/>
  <c r="I147" i="17"/>
  <c r="J121" i="17"/>
  <c r="I121" i="17"/>
  <c r="K121" i="17"/>
  <c r="J91" i="17"/>
  <c r="K91" i="17"/>
  <c r="I91" i="17"/>
  <c r="J65" i="17"/>
  <c r="I65" i="17"/>
  <c r="K65" i="17"/>
  <c r="Q160" i="18"/>
  <c r="R160" i="18"/>
  <c r="J9" i="17"/>
  <c r="K9" i="17"/>
  <c r="I9" i="17"/>
  <c r="Q148" i="18"/>
  <c r="R148" i="18"/>
  <c r="V21" i="17"/>
  <c r="U21" i="17"/>
  <c r="W21" i="17"/>
  <c r="J135" i="14"/>
  <c r="I135" i="14"/>
  <c r="J93" i="14"/>
  <c r="I93" i="14"/>
  <c r="J51" i="14"/>
  <c r="I51" i="14"/>
  <c r="I65" i="14"/>
  <c r="J65" i="14"/>
  <c r="J76" i="13"/>
  <c r="I76" i="13"/>
  <c r="K76" i="13"/>
  <c r="I21" i="15"/>
  <c r="L21" i="15"/>
  <c r="K21" i="15"/>
  <c r="M21" i="15"/>
  <c r="J21" i="15"/>
  <c r="X132" i="18"/>
  <c r="Y132" i="18"/>
  <c r="J104" i="13"/>
  <c r="I104" i="13"/>
  <c r="K104" i="13"/>
  <c r="J48" i="13"/>
  <c r="I48" i="13"/>
  <c r="K48" i="13"/>
  <c r="M161" i="15"/>
  <c r="L161" i="15"/>
  <c r="I161" i="15"/>
  <c r="K161" i="15"/>
  <c r="J161" i="15"/>
  <c r="I107" i="14"/>
  <c r="J107" i="14"/>
  <c r="J160" i="13"/>
  <c r="I160" i="13"/>
  <c r="K160" i="13"/>
  <c r="J132" i="13"/>
  <c r="I132" i="13"/>
  <c r="K132" i="13"/>
  <c r="I149" i="14"/>
  <c r="J149" i="14"/>
  <c r="J146" i="13"/>
  <c r="I146" i="13"/>
  <c r="K146" i="13"/>
  <c r="J118" i="13"/>
  <c r="I118" i="13"/>
  <c r="K118" i="13"/>
  <c r="J62" i="13"/>
  <c r="K62" i="13"/>
  <c r="I62" i="13"/>
  <c r="J20" i="13"/>
  <c r="K20" i="13"/>
  <c r="I20" i="13"/>
  <c r="L63" i="15"/>
  <c r="I63" i="15"/>
  <c r="M63" i="15"/>
  <c r="K63" i="15"/>
  <c r="J63" i="15"/>
  <c r="J125" i="3"/>
  <c r="K125" i="3"/>
  <c r="K114" i="3"/>
  <c r="J114" i="3"/>
  <c r="K42" i="2"/>
  <c r="J42" i="2"/>
  <c r="K45" i="2"/>
  <c r="J45" i="2"/>
  <c r="J44" i="2"/>
  <c r="K44" i="2"/>
  <c r="K133" i="3"/>
  <c r="J133" i="3"/>
  <c r="J122" i="3"/>
  <c r="K122" i="3"/>
  <c r="K124" i="3"/>
  <c r="J124" i="3"/>
  <c r="R21" i="19"/>
  <c r="P21" i="19"/>
  <c r="J23" i="14"/>
  <c r="I23" i="14"/>
  <c r="J90" i="13"/>
  <c r="K90" i="13"/>
  <c r="I90" i="13"/>
  <c r="J34" i="13"/>
  <c r="K34" i="13"/>
  <c r="I34" i="13"/>
  <c r="K134" i="3"/>
  <c r="J134" i="3"/>
  <c r="J74" i="18" l="1"/>
  <c r="J10" i="18"/>
  <c r="J25" i="18"/>
  <c r="J32" i="18"/>
  <c r="J12" i="19"/>
  <c r="J25" i="19"/>
  <c r="J139" i="19"/>
  <c r="J18" i="19"/>
  <c r="J15" i="19"/>
  <c r="J28" i="19"/>
  <c r="J13" i="19"/>
  <c r="J39" i="19"/>
  <c r="J55" i="19"/>
  <c r="J57" i="19"/>
  <c r="J59" i="19"/>
  <c r="J61" i="19"/>
  <c r="J80" i="19"/>
  <c r="J82" i="19"/>
  <c r="J98" i="19"/>
  <c r="J100" i="19"/>
  <c r="J102" i="19"/>
  <c r="J104" i="19"/>
  <c r="J123" i="19"/>
  <c r="J142" i="19"/>
  <c r="J144" i="19"/>
  <c r="J150" i="19"/>
  <c r="J27" i="19"/>
  <c r="J41" i="19"/>
  <c r="J43" i="19"/>
  <c r="J45" i="19"/>
  <c r="J47" i="19"/>
  <c r="J66" i="19"/>
  <c r="J68" i="19"/>
  <c r="J84" i="19"/>
  <c r="J86" i="19"/>
  <c r="J88" i="19"/>
  <c r="J90" i="19"/>
  <c r="J109" i="19"/>
  <c r="J125" i="19"/>
  <c r="J127" i="19"/>
  <c r="J129" i="19"/>
  <c r="J131" i="19"/>
  <c r="J151" i="19"/>
  <c r="J156" i="19"/>
  <c r="J26" i="19"/>
  <c r="J16" i="19"/>
  <c r="J20" i="19"/>
  <c r="J14" i="19"/>
  <c r="J31" i="19"/>
  <c r="J33" i="19"/>
  <c r="J52" i="19"/>
  <c r="J54" i="19"/>
  <c r="J70" i="19"/>
  <c r="J72" i="19"/>
  <c r="J74" i="19"/>
  <c r="J76" i="19"/>
  <c r="J95" i="19"/>
  <c r="J111" i="19"/>
  <c r="J113" i="19"/>
  <c r="J115" i="19"/>
  <c r="J117" i="19"/>
  <c r="J136" i="19"/>
  <c r="J138" i="19"/>
  <c r="J146" i="19"/>
  <c r="J155" i="19"/>
  <c r="J157" i="19"/>
  <c r="J10" i="19"/>
  <c r="J30" i="19"/>
  <c r="J38" i="19"/>
  <c r="J40" i="19"/>
  <c r="J56" i="19"/>
  <c r="J58" i="19"/>
  <c r="J60" i="19"/>
  <c r="J62" i="19"/>
  <c r="J81" i="19"/>
  <c r="J97" i="19"/>
  <c r="J99" i="19"/>
  <c r="J101" i="19"/>
  <c r="J103" i="19"/>
  <c r="J122" i="19"/>
  <c r="J124" i="19"/>
  <c r="J141" i="19"/>
  <c r="J145" i="19"/>
  <c r="J73" i="18"/>
  <c r="J139" i="18"/>
  <c r="J89" i="18"/>
  <c r="J94" i="19"/>
  <c r="J44" i="19"/>
  <c r="J29" i="19"/>
  <c r="K123" i="3"/>
  <c r="K157" i="16"/>
  <c r="K88" i="16"/>
  <c r="K80" i="16"/>
  <c r="K154" i="16"/>
  <c r="K89" i="16"/>
  <c r="K81" i="16"/>
  <c r="K72" i="16"/>
  <c r="K59" i="16"/>
  <c r="K151" i="16"/>
  <c r="K17" i="16"/>
  <c r="K155" i="16"/>
  <c r="K138" i="16"/>
  <c r="K112" i="16"/>
  <c r="K95" i="16"/>
  <c r="K16" i="16"/>
  <c r="K12" i="16"/>
  <c r="K130" i="16"/>
  <c r="K83" i="16"/>
  <c r="K66" i="16"/>
  <c r="J138" i="18"/>
  <c r="J112" i="18"/>
  <c r="J54" i="18"/>
  <c r="J28" i="18"/>
  <c r="J152" i="18"/>
  <c r="J87" i="18"/>
  <c r="J68" i="18"/>
  <c r="J158" i="18"/>
  <c r="J122" i="18"/>
  <c r="J102" i="18"/>
  <c r="J38" i="18"/>
  <c r="J18" i="18"/>
  <c r="J149" i="18"/>
  <c r="J97" i="18"/>
  <c r="R13" i="19"/>
  <c r="R151" i="19"/>
  <c r="R11" i="19"/>
  <c r="R17" i="19"/>
  <c r="R42" i="19"/>
  <c r="R44" i="19"/>
  <c r="R46" i="19"/>
  <c r="R48" i="19"/>
  <c r="R67" i="19"/>
  <c r="R69" i="19"/>
  <c r="R85" i="19"/>
  <c r="R87" i="19"/>
  <c r="R89" i="19"/>
  <c r="R94" i="19"/>
  <c r="R110" i="19"/>
  <c r="R126" i="19"/>
  <c r="R128" i="19"/>
  <c r="R130" i="19"/>
  <c r="R132" i="19"/>
  <c r="R156" i="19"/>
  <c r="R12" i="19"/>
  <c r="R18" i="19"/>
  <c r="R28" i="19"/>
  <c r="R154" i="19"/>
  <c r="R24" i="19"/>
  <c r="R32" i="19"/>
  <c r="R34" i="19"/>
  <c r="R53" i="19"/>
  <c r="R55" i="19"/>
  <c r="R157" i="19"/>
  <c r="R19" i="19"/>
  <c r="R26" i="19"/>
  <c r="R30" i="19"/>
  <c r="R39" i="19"/>
  <c r="R41" i="19"/>
  <c r="R57" i="19"/>
  <c r="R59" i="19"/>
  <c r="R61" i="19"/>
  <c r="R66" i="19"/>
  <c r="R82" i="19"/>
  <c r="R98" i="19"/>
  <c r="R100" i="19"/>
  <c r="R102" i="19"/>
  <c r="R104" i="19"/>
  <c r="R123" i="19"/>
  <c r="R125" i="19"/>
  <c r="R141" i="19"/>
  <c r="R160" i="19"/>
  <c r="R14" i="19"/>
  <c r="R20" i="19"/>
  <c r="R43" i="19"/>
  <c r="R45" i="19"/>
  <c r="R47" i="19"/>
  <c r="R52" i="19"/>
  <c r="R68" i="19"/>
  <c r="R84" i="19"/>
  <c r="R86" i="19"/>
  <c r="R88" i="19"/>
  <c r="R90" i="19"/>
  <c r="R109" i="19"/>
  <c r="R111" i="19"/>
  <c r="R127" i="19"/>
  <c r="R129" i="19"/>
  <c r="R131" i="19"/>
  <c r="R136" i="19"/>
  <c r="R153" i="19"/>
  <c r="R159" i="19"/>
  <c r="R15" i="19"/>
  <c r="R25" i="19"/>
  <c r="R139" i="19"/>
  <c r="R140" i="18"/>
  <c r="R83" i="18"/>
  <c r="R18" i="18"/>
  <c r="R85" i="18"/>
  <c r="R41" i="18"/>
  <c r="R9" i="18"/>
  <c r="J153" i="19"/>
  <c r="J152" i="19"/>
  <c r="J143" i="19"/>
  <c r="J126" i="19"/>
  <c r="J116" i="19"/>
  <c r="J96" i="19"/>
  <c r="J69" i="19"/>
  <c r="J67" i="19"/>
  <c r="J46" i="19"/>
  <c r="J19" i="19"/>
  <c r="J69" i="18"/>
  <c r="J127" i="18"/>
  <c r="J53" i="18"/>
  <c r="J111" i="18"/>
  <c r="J124" i="18"/>
  <c r="J24" i="18"/>
  <c r="J140" i="18"/>
  <c r="J98" i="18"/>
  <c r="J156" i="18"/>
  <c r="J19" i="18"/>
  <c r="J130" i="18"/>
  <c r="J150" i="18"/>
  <c r="J143" i="18"/>
  <c r="J43" i="18"/>
  <c r="J11" i="18"/>
  <c r="J117" i="18"/>
  <c r="J17" i="18"/>
  <c r="J88" i="18"/>
  <c r="J27" i="18"/>
  <c r="J85" i="18"/>
  <c r="J121" i="18"/>
  <c r="J79" i="18"/>
  <c r="J75" i="18"/>
  <c r="J153" i="18"/>
  <c r="J26" i="18"/>
  <c r="J45" i="18"/>
  <c r="J94" i="18"/>
  <c r="J109" i="18"/>
  <c r="J44" i="18"/>
  <c r="J103" i="18"/>
  <c r="J71" i="18"/>
  <c r="J30" i="18"/>
  <c r="J72" i="18"/>
  <c r="J107" i="18"/>
  <c r="J55" i="18"/>
  <c r="J141" i="18"/>
  <c r="J57" i="18"/>
  <c r="J136" i="18"/>
  <c r="J137" i="18"/>
  <c r="J59" i="18"/>
  <c r="J82" i="18"/>
  <c r="J147" i="19"/>
  <c r="K144" i="16"/>
  <c r="K136" i="16"/>
  <c r="K71" i="16"/>
  <c r="K62" i="16"/>
  <c r="K54" i="16"/>
  <c r="K41" i="16"/>
  <c r="K145" i="16"/>
  <c r="K137" i="16"/>
  <c r="K128" i="16"/>
  <c r="K115" i="16"/>
  <c r="K46" i="16"/>
  <c r="K125" i="16"/>
  <c r="K13" i="16"/>
  <c r="K69" i="16"/>
  <c r="K113" i="16"/>
  <c r="K96" i="16"/>
  <c r="K70" i="16"/>
  <c r="K53" i="16"/>
  <c r="K48" i="16"/>
  <c r="K31" i="16"/>
  <c r="J151" i="18"/>
  <c r="J86" i="18"/>
  <c r="J67" i="18"/>
  <c r="J126" i="18"/>
  <c r="J42" i="18"/>
  <c r="J83" i="18"/>
  <c r="J129" i="18"/>
  <c r="J110" i="18"/>
  <c r="J95" i="18"/>
  <c r="J37" i="18"/>
  <c r="J40" i="18"/>
  <c r="R55" i="18"/>
  <c r="R71" i="18"/>
  <c r="R15" i="18"/>
  <c r="R152" i="18"/>
  <c r="R129" i="18"/>
  <c r="R32" i="18"/>
  <c r="R149" i="18"/>
  <c r="R52" i="18"/>
  <c r="R113" i="18"/>
  <c r="R94" i="18"/>
  <c r="R13" i="18"/>
  <c r="R110" i="18"/>
  <c r="R74" i="18"/>
  <c r="R136" i="18"/>
  <c r="R58" i="18"/>
  <c r="R16" i="18"/>
  <c r="R26" i="18"/>
  <c r="R47" i="18"/>
  <c r="R99" i="18"/>
  <c r="R131" i="18"/>
  <c r="R14" i="18"/>
  <c r="R40" i="18"/>
  <c r="R98" i="18"/>
  <c r="R124" i="18"/>
  <c r="R57" i="18"/>
  <c r="R89" i="18"/>
  <c r="R141" i="18"/>
  <c r="R69" i="18"/>
  <c r="R153" i="18"/>
  <c r="R81" i="18"/>
  <c r="R23" i="18"/>
  <c r="R123" i="18"/>
  <c r="R65" i="18"/>
  <c r="R107" i="18"/>
  <c r="R68" i="18"/>
  <c r="R67" i="18"/>
  <c r="R86" i="18"/>
  <c r="R151" i="18"/>
  <c r="R59" i="18"/>
  <c r="R79" i="18"/>
  <c r="R143" i="18"/>
  <c r="R25" i="18"/>
  <c r="R44" i="18"/>
  <c r="R109" i="18"/>
  <c r="R128" i="18"/>
  <c r="R24" i="18"/>
  <c r="R88" i="18"/>
  <c r="R108" i="18"/>
  <c r="R116" i="18"/>
  <c r="R39" i="18"/>
  <c r="R28" i="18"/>
  <c r="R112" i="18"/>
  <c r="R27" i="18"/>
  <c r="R111" i="18"/>
  <c r="R70" i="18"/>
  <c r="R154" i="18"/>
  <c r="R43" i="18"/>
  <c r="R75" i="18"/>
  <c r="R127" i="18"/>
  <c r="R139" i="18"/>
  <c r="R61" i="18"/>
  <c r="R103" i="18"/>
  <c r="R145" i="18"/>
  <c r="R29" i="18"/>
  <c r="R54" i="18"/>
  <c r="R73" i="18"/>
  <c r="R138" i="18"/>
  <c r="R157" i="18"/>
  <c r="R46" i="18"/>
  <c r="R66" i="18"/>
  <c r="R130" i="18"/>
  <c r="R150" i="18"/>
  <c r="R12" i="18"/>
  <c r="R31" i="18"/>
  <c r="R96" i="18"/>
  <c r="R115" i="18"/>
  <c r="R11" i="18"/>
  <c r="R30" i="18"/>
  <c r="R95" i="18"/>
  <c r="R114" i="18"/>
  <c r="R159" i="18"/>
  <c r="R19" i="18"/>
  <c r="J128" i="19"/>
  <c r="J118" i="19"/>
  <c r="J71" i="19"/>
  <c r="J53" i="19"/>
  <c r="J48" i="19"/>
  <c r="J17" i="19"/>
  <c r="J24" i="19"/>
  <c r="J128" i="18"/>
  <c r="J56" i="18"/>
  <c r="J114" i="19"/>
  <c r="J89" i="19"/>
  <c r="K27" i="16"/>
  <c r="K160" i="16"/>
  <c r="K143" i="16"/>
  <c r="K117" i="16"/>
  <c r="K100" i="16"/>
  <c r="J131" i="18"/>
  <c r="J99" i="18"/>
  <c r="J47" i="18"/>
  <c r="J15" i="18"/>
  <c r="J100" i="18"/>
  <c r="J81" i="18"/>
  <c r="J16" i="18"/>
  <c r="J135" i="18"/>
  <c r="J115" i="18"/>
  <c r="J51" i="18"/>
  <c r="J31" i="18"/>
  <c r="J84" i="18"/>
  <c r="J39" i="18"/>
  <c r="J101" i="18"/>
  <c r="J13" i="18"/>
  <c r="J14" i="18"/>
  <c r="J108" i="18"/>
  <c r="J160" i="19"/>
  <c r="J158" i="19"/>
  <c r="J130" i="19"/>
  <c r="J83" i="19"/>
  <c r="J73" i="19"/>
  <c r="J11" i="19"/>
  <c r="K136" i="47"/>
  <c r="K144" i="47"/>
  <c r="K142" i="47"/>
  <c r="K141" i="47"/>
  <c r="J155" i="18"/>
  <c r="J157" i="18"/>
  <c r="J93" i="18"/>
  <c r="J23" i="18"/>
  <c r="J116" i="18"/>
  <c r="J52" i="18"/>
  <c r="J114" i="18"/>
  <c r="J46" i="18"/>
  <c r="J154" i="19"/>
  <c r="J34" i="19"/>
  <c r="K113" i="3"/>
  <c r="K153" i="16"/>
  <c r="K84" i="16"/>
  <c r="K158" i="16"/>
  <c r="K94" i="16"/>
  <c r="K85" i="16"/>
  <c r="K76" i="16"/>
  <c r="K68" i="16"/>
  <c r="K159" i="16"/>
  <c r="K142" i="16"/>
  <c r="K15" i="16"/>
  <c r="K146" i="16"/>
  <c r="K129" i="16"/>
  <c r="K103" i="16"/>
  <c r="K86" i="16"/>
  <c r="K18" i="16"/>
  <c r="K14" i="16"/>
  <c r="K139" i="16"/>
  <c r="J159" i="18"/>
  <c r="J144" i="18"/>
  <c r="J80" i="18"/>
  <c r="J60" i="18"/>
  <c r="J9" i="18"/>
  <c r="J145" i="18"/>
  <c r="J113" i="18"/>
  <c r="J61" i="18"/>
  <c r="J29" i="18"/>
  <c r="J154" i="18"/>
  <c r="J96" i="18"/>
  <c r="J70" i="18"/>
  <c r="J12" i="18"/>
  <c r="J142" i="18"/>
  <c r="J123" i="18"/>
  <c r="J58" i="18"/>
  <c r="J66" i="18"/>
  <c r="J33" i="18"/>
  <c r="J159" i="19"/>
  <c r="J137" i="19"/>
  <c r="J132" i="19"/>
  <c r="J108" i="19"/>
  <c r="J85" i="19"/>
  <c r="J75" i="19"/>
  <c r="J140" i="19"/>
  <c r="W17" i="17"/>
  <c r="W13" i="17"/>
  <c r="Y67" i="18"/>
  <c r="Y86" i="18"/>
  <c r="Y151" i="18"/>
  <c r="Y26" i="18"/>
  <c r="Y84" i="18"/>
  <c r="Y110" i="18"/>
  <c r="Y31" i="18"/>
  <c r="Y96" i="18"/>
  <c r="Y115" i="18"/>
  <c r="K141" i="46"/>
  <c r="K145" i="45"/>
  <c r="K144" i="45"/>
  <c r="W11" i="17"/>
  <c r="W19" i="17"/>
  <c r="W15" i="16"/>
  <c r="W17" i="16"/>
  <c r="Y28" i="18"/>
  <c r="Y112" i="18"/>
  <c r="Y45" i="18"/>
  <c r="Y65" i="18"/>
  <c r="Y129" i="18"/>
  <c r="Y149" i="18"/>
  <c r="Y51" i="18"/>
  <c r="Y83" i="18"/>
  <c r="K140" i="47"/>
  <c r="Y46" i="18"/>
  <c r="Y101" i="18"/>
  <c r="Y40" i="18"/>
  <c r="Y137" i="18"/>
  <c r="Y95" i="18"/>
  <c r="Y74" i="18"/>
  <c r="Y94" i="18"/>
  <c r="Y88" i="18"/>
  <c r="Y127" i="18"/>
  <c r="Y43" i="18"/>
  <c r="Y14" i="18"/>
  <c r="Y158" i="18"/>
  <c r="Y11" i="18"/>
  <c r="Y72" i="18"/>
  <c r="Y150" i="18"/>
  <c r="Y29" i="18"/>
  <c r="Y61" i="18"/>
  <c r="Y53" i="18"/>
  <c r="Y154" i="18"/>
  <c r="Y108" i="18"/>
  <c r="Y124" i="18"/>
  <c r="Y121" i="18"/>
  <c r="Y98" i="18"/>
  <c r="Y156" i="18"/>
  <c r="Y56" i="18"/>
  <c r="Y114" i="18"/>
  <c r="Y16" i="18"/>
  <c r="Y81" i="18"/>
  <c r="Y85" i="18"/>
  <c r="Y69" i="18"/>
  <c r="Y59" i="18"/>
  <c r="Y17" i="18"/>
  <c r="Y33" i="18"/>
  <c r="Y111" i="18"/>
  <c r="Y42" i="18"/>
  <c r="Y10" i="18"/>
  <c r="Y82" i="18"/>
  <c r="Y117" i="18"/>
  <c r="Y159" i="18"/>
  <c r="Y75" i="18"/>
  <c r="Y153" i="18"/>
  <c r="Y68" i="18"/>
  <c r="Y87" i="18"/>
  <c r="Y66" i="18"/>
  <c r="Y27" i="18"/>
  <c r="Y143" i="18"/>
  <c r="Y30" i="18"/>
  <c r="Y24" i="18"/>
  <c r="Y140" i="18"/>
  <c r="Y79" i="18"/>
  <c r="Y37" i="18"/>
  <c r="Y130" i="18"/>
  <c r="Y23" i="18"/>
  <c r="Y55" i="18"/>
  <c r="Y54" i="18"/>
  <c r="Y73" i="18"/>
  <c r="Y138" i="18"/>
  <c r="Y157" i="18"/>
  <c r="Y13" i="18"/>
  <c r="Y97" i="18"/>
  <c r="Y18" i="18"/>
  <c r="Y38" i="18"/>
  <c r="Y102" i="18"/>
  <c r="Y122" i="18"/>
  <c r="K145" i="46"/>
  <c r="K143" i="47"/>
  <c r="K143" i="45"/>
  <c r="K141" i="45"/>
  <c r="J52" i="27"/>
  <c r="W12" i="17"/>
  <c r="Y9" i="18"/>
  <c r="Y41" i="18"/>
  <c r="Y93" i="18"/>
  <c r="Y125" i="18"/>
  <c r="Y32" i="18"/>
  <c r="Y52" i="18"/>
  <c r="Y116" i="18"/>
  <c r="Y136" i="18"/>
  <c r="Y57" i="18"/>
  <c r="Y89" i="18"/>
  <c r="Y141" i="18"/>
  <c r="J109" i="35"/>
  <c r="K139" i="46"/>
  <c r="K138" i="47"/>
  <c r="K137" i="45"/>
  <c r="K138" i="45"/>
  <c r="L109" i="35"/>
  <c r="L54" i="12"/>
  <c r="K54" i="12"/>
  <c r="I54" i="12"/>
  <c r="J54" i="12"/>
  <c r="K56" i="12"/>
  <c r="L56" i="12"/>
  <c r="J56" i="12"/>
  <c r="I56" i="12"/>
  <c r="K53" i="12"/>
  <c r="L53" i="12"/>
  <c r="J53" i="12"/>
  <c r="H57" i="12"/>
  <c r="I53" i="12"/>
  <c r="X21" i="15"/>
  <c r="W21" i="15"/>
  <c r="Y21" i="15"/>
  <c r="K190" i="3"/>
  <c r="J190" i="3"/>
  <c r="J201" i="3"/>
  <c r="K201" i="3"/>
  <c r="H42" i="10"/>
  <c r="H39" i="10"/>
  <c r="H36" i="10"/>
  <c r="H33" i="10"/>
  <c r="H41" i="10"/>
  <c r="H38" i="10"/>
  <c r="H35" i="10"/>
  <c r="H32" i="10"/>
  <c r="H30" i="10"/>
  <c r="E29" i="10"/>
  <c r="H40" i="10"/>
  <c r="H31" i="10"/>
  <c r="H37" i="10"/>
  <c r="H43" i="10"/>
  <c r="H34" i="10"/>
  <c r="J17" i="2"/>
  <c r="K17" i="2"/>
  <c r="J18" i="2"/>
  <c r="K18" i="2"/>
  <c r="K130" i="3"/>
  <c r="J130" i="3"/>
  <c r="J119" i="3"/>
  <c r="K119" i="3"/>
  <c r="J131" i="3"/>
  <c r="K131" i="3"/>
  <c r="K120" i="3"/>
  <c r="J120" i="3"/>
  <c r="K187" i="3"/>
  <c r="J187" i="3"/>
  <c r="K198" i="3"/>
  <c r="J198" i="3"/>
  <c r="K199" i="3"/>
  <c r="J199" i="3"/>
  <c r="J188" i="3"/>
  <c r="K188" i="3"/>
  <c r="K193" i="3"/>
  <c r="J193" i="3"/>
  <c r="K204" i="3"/>
  <c r="J204" i="3"/>
  <c r="K196" i="3"/>
  <c r="J196" i="3"/>
  <c r="K207" i="3"/>
  <c r="J207" i="3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09" i="8"/>
  <c r="F108" i="8"/>
  <c r="F107" i="8"/>
  <c r="F106" i="8"/>
  <c r="F105" i="8"/>
  <c r="F104" i="8"/>
  <c r="F103" i="8"/>
  <c r="F102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153" i="8"/>
  <c r="F152" i="8"/>
  <c r="F151" i="8"/>
  <c r="F150" i="8"/>
  <c r="F149" i="8"/>
  <c r="F148" i="8"/>
  <c r="F147" i="8"/>
  <c r="F146" i="8"/>
  <c r="F145" i="8"/>
  <c r="F144" i="8"/>
  <c r="F143" i="8"/>
  <c r="E271" i="8"/>
  <c r="F272" i="8" s="1"/>
  <c r="F262" i="8"/>
  <c r="F259" i="8"/>
  <c r="F256" i="8"/>
  <c r="F253" i="8"/>
  <c r="E205" i="8"/>
  <c r="F206" i="8" s="1"/>
  <c r="F196" i="8"/>
  <c r="F193" i="8"/>
  <c r="F190" i="8"/>
  <c r="F187" i="8"/>
  <c r="F141" i="8"/>
  <c r="E95" i="8"/>
  <c r="F96" i="8" s="1"/>
  <c r="E249" i="8"/>
  <c r="F250" i="8" s="1"/>
  <c r="E227" i="8"/>
  <c r="F228" i="8" s="1"/>
  <c r="E183" i="8"/>
  <c r="F184" i="8" s="1"/>
  <c r="E161" i="8"/>
  <c r="F162" i="8" s="1"/>
  <c r="F129" i="8"/>
  <c r="F126" i="8"/>
  <c r="F123" i="8"/>
  <c r="F120" i="8"/>
  <c r="E73" i="8"/>
  <c r="F130" i="8"/>
  <c r="F127" i="8"/>
  <c r="F124" i="8"/>
  <c r="F121" i="8"/>
  <c r="E29" i="8"/>
  <c r="F30" i="8" s="1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263" i="8"/>
  <c r="F260" i="8"/>
  <c r="F257" i="8"/>
  <c r="F254" i="8"/>
  <c r="F251" i="8"/>
  <c r="F197" i="8"/>
  <c r="F194" i="8"/>
  <c r="F191" i="8"/>
  <c r="F188" i="8"/>
  <c r="F185" i="8"/>
  <c r="E117" i="8"/>
  <c r="F118" i="8" s="1"/>
  <c r="F8" i="8"/>
  <c r="F189" i="8"/>
  <c r="F128" i="8"/>
  <c r="F119" i="8"/>
  <c r="F43" i="8"/>
  <c r="F40" i="8"/>
  <c r="F37" i="8"/>
  <c r="F34" i="8"/>
  <c r="F31" i="8"/>
  <c r="F186" i="8"/>
  <c r="F142" i="8"/>
  <c r="F131" i="8"/>
  <c r="F122" i="8"/>
  <c r="F41" i="8"/>
  <c r="F32" i="8"/>
  <c r="F258" i="8"/>
  <c r="F99" i="8"/>
  <c r="E51" i="8"/>
  <c r="F195" i="8"/>
  <c r="F38" i="8"/>
  <c r="F35" i="8"/>
  <c r="F255" i="8"/>
  <c r="E139" i="8"/>
  <c r="F140" i="8" s="1"/>
  <c r="F100" i="8"/>
  <c r="F97" i="8"/>
  <c r="C7" i="8"/>
  <c r="F261" i="8"/>
  <c r="F252" i="8"/>
  <c r="F101" i="8"/>
  <c r="F98" i="8"/>
  <c r="F192" i="8"/>
  <c r="F125" i="8"/>
  <c r="F42" i="8"/>
  <c r="F39" i="8"/>
  <c r="F36" i="8"/>
  <c r="F33" i="8"/>
  <c r="H52" i="8"/>
  <c r="H87" i="8"/>
  <c r="H64" i="8"/>
  <c r="H61" i="8"/>
  <c r="H58" i="8"/>
  <c r="H55" i="8"/>
  <c r="H56" i="8"/>
  <c r="H53" i="8"/>
  <c r="H65" i="8"/>
  <c r="H62" i="8"/>
  <c r="H59" i="8"/>
  <c r="H63" i="8"/>
  <c r="H60" i="8"/>
  <c r="H57" i="8"/>
  <c r="H54" i="8"/>
  <c r="H74" i="8"/>
  <c r="H86" i="8"/>
  <c r="H85" i="8"/>
  <c r="H84" i="8"/>
  <c r="H83" i="8"/>
  <c r="H82" i="8"/>
  <c r="H81" i="8"/>
  <c r="H80" i="8"/>
  <c r="H79" i="8"/>
  <c r="H78" i="8"/>
  <c r="H77" i="8"/>
  <c r="H76" i="8"/>
  <c r="H75" i="8"/>
  <c r="S23" i="14"/>
  <c r="T23" i="14"/>
  <c r="G51" i="10"/>
  <c r="J55" i="10"/>
  <c r="J54" i="10"/>
  <c r="J63" i="10"/>
  <c r="J60" i="10"/>
  <c r="J57" i="10"/>
  <c r="J52" i="10"/>
  <c r="J65" i="10"/>
  <c r="J59" i="10"/>
  <c r="J62" i="10"/>
  <c r="J56" i="10"/>
  <c r="J64" i="10"/>
  <c r="J61" i="10"/>
  <c r="J58" i="10"/>
  <c r="J53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C95" i="10"/>
  <c r="D96" i="10" s="1"/>
  <c r="F96" i="10"/>
  <c r="J161" i="16"/>
  <c r="I161" i="16"/>
  <c r="K161" i="16"/>
  <c r="J135" i="16"/>
  <c r="I135" i="16"/>
  <c r="K135" i="16"/>
  <c r="J105" i="16"/>
  <c r="I105" i="16"/>
  <c r="K105" i="16"/>
  <c r="J79" i="16"/>
  <c r="I79" i="16"/>
  <c r="K79" i="16"/>
  <c r="J49" i="16"/>
  <c r="I49" i="16"/>
  <c r="K49" i="16"/>
  <c r="J23" i="16"/>
  <c r="I23" i="16"/>
  <c r="K23" i="16"/>
  <c r="J149" i="16"/>
  <c r="I149" i="16"/>
  <c r="K149" i="16"/>
  <c r="J119" i="16"/>
  <c r="I119" i="16"/>
  <c r="K119" i="16"/>
  <c r="J93" i="16"/>
  <c r="I93" i="16"/>
  <c r="K93" i="16"/>
  <c r="J63" i="16"/>
  <c r="I63" i="16"/>
  <c r="K63" i="16"/>
  <c r="J37" i="16"/>
  <c r="I37" i="16"/>
  <c r="K37" i="16"/>
  <c r="J133" i="16"/>
  <c r="K133" i="16"/>
  <c r="I133" i="16"/>
  <c r="J107" i="16"/>
  <c r="I107" i="16"/>
  <c r="K107" i="16"/>
  <c r="J21" i="16"/>
  <c r="I21" i="16"/>
  <c r="K21" i="16"/>
  <c r="J77" i="16"/>
  <c r="K77" i="16"/>
  <c r="I77" i="16"/>
  <c r="J51" i="16"/>
  <c r="I51" i="16"/>
  <c r="K51" i="16"/>
  <c r="K9" i="16"/>
  <c r="J9" i="16"/>
  <c r="I9" i="16"/>
  <c r="J147" i="16"/>
  <c r="I147" i="16"/>
  <c r="K147" i="16"/>
  <c r="J121" i="16"/>
  <c r="K121" i="16"/>
  <c r="I121" i="16"/>
  <c r="J35" i="16"/>
  <c r="I35" i="16"/>
  <c r="K35" i="16"/>
  <c r="J91" i="16"/>
  <c r="I91" i="16"/>
  <c r="K91" i="16"/>
  <c r="J65" i="16"/>
  <c r="K65" i="16"/>
  <c r="I65" i="16"/>
  <c r="K205" i="3"/>
  <c r="J205" i="3"/>
  <c r="J194" i="3"/>
  <c r="K194" i="3"/>
  <c r="J206" i="3"/>
  <c r="K206" i="3"/>
  <c r="K195" i="3"/>
  <c r="J195" i="3"/>
  <c r="J203" i="3"/>
  <c r="K203" i="3"/>
  <c r="K192" i="3"/>
  <c r="J192" i="3"/>
  <c r="J200" i="3"/>
  <c r="K200" i="3"/>
  <c r="J189" i="3"/>
  <c r="K189" i="3"/>
  <c r="J197" i="3"/>
  <c r="K197" i="3"/>
  <c r="K186" i="3"/>
  <c r="J186" i="3"/>
  <c r="J191" i="3"/>
  <c r="K191" i="3"/>
  <c r="K202" i="3"/>
  <c r="J202" i="3"/>
  <c r="V20" i="13"/>
  <c r="U20" i="13"/>
  <c r="W20" i="13"/>
  <c r="K121" i="3"/>
  <c r="J121" i="3"/>
  <c r="K132" i="3"/>
  <c r="J132" i="3"/>
  <c r="K129" i="3"/>
  <c r="J129" i="3"/>
  <c r="K118" i="3"/>
  <c r="J118" i="3"/>
  <c r="K115" i="3"/>
  <c r="J115" i="3"/>
  <c r="J126" i="3"/>
  <c r="K126" i="3"/>
  <c r="K116" i="3"/>
  <c r="J116" i="3"/>
  <c r="J127" i="3"/>
  <c r="K127" i="3"/>
  <c r="K128" i="3"/>
  <c r="J128" i="3"/>
  <c r="K117" i="3"/>
  <c r="J117" i="3"/>
  <c r="K69" i="2"/>
  <c r="J69" i="2"/>
  <c r="K70" i="2"/>
  <c r="J70" i="2"/>
  <c r="K67" i="2"/>
  <c r="J67" i="2"/>
  <c r="K68" i="2"/>
  <c r="J68" i="2"/>
  <c r="K71" i="2"/>
  <c r="J71" i="2"/>
  <c r="J74" i="10"/>
  <c r="G73" i="10"/>
  <c r="J87" i="10"/>
  <c r="J86" i="10"/>
  <c r="J85" i="10"/>
  <c r="J84" i="10"/>
  <c r="J83" i="10"/>
  <c r="J82" i="10"/>
  <c r="J81" i="10"/>
  <c r="J80" i="10"/>
  <c r="J79" i="10"/>
  <c r="J78" i="10"/>
  <c r="J77" i="10"/>
  <c r="J76" i="10"/>
  <c r="J75" i="10"/>
  <c r="J55" i="12"/>
  <c r="I55" i="12"/>
  <c r="L55" i="12"/>
  <c r="K55" i="12"/>
  <c r="K43" i="2"/>
  <c r="J43" i="2"/>
  <c r="K46" i="2"/>
  <c r="J46" i="2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G7" i="10"/>
  <c r="J8" i="10"/>
  <c r="J119" i="15"/>
  <c r="I119" i="15"/>
  <c r="L119" i="15"/>
  <c r="K119" i="15"/>
  <c r="M119" i="15"/>
  <c r="L133" i="15"/>
  <c r="K133" i="15"/>
  <c r="J133" i="15"/>
  <c r="M133" i="15"/>
  <c r="I133" i="15"/>
  <c r="M49" i="15"/>
  <c r="K49" i="15"/>
  <c r="J49" i="15"/>
  <c r="L49" i="15"/>
  <c r="I49" i="15"/>
  <c r="I105" i="15"/>
  <c r="M105" i="15"/>
  <c r="K105" i="15"/>
  <c r="J105" i="15"/>
  <c r="L105" i="15"/>
  <c r="J146" i="18"/>
  <c r="I146" i="18"/>
  <c r="J92" i="18"/>
  <c r="I92" i="18"/>
  <c r="J62" i="18"/>
  <c r="I62" i="18"/>
  <c r="J8" i="18"/>
  <c r="I8" i="18"/>
  <c r="J160" i="18"/>
  <c r="I160" i="18"/>
  <c r="J106" i="18"/>
  <c r="I106" i="18"/>
  <c r="J76" i="18"/>
  <c r="I76" i="18"/>
  <c r="J22" i="18"/>
  <c r="I22" i="18"/>
  <c r="J134" i="18"/>
  <c r="I134" i="18"/>
  <c r="J104" i="18"/>
  <c r="I104" i="18"/>
  <c r="J50" i="18"/>
  <c r="I50" i="18"/>
  <c r="J20" i="18"/>
  <c r="I20" i="18"/>
  <c r="J148" i="18"/>
  <c r="I148" i="18"/>
  <c r="J118" i="18"/>
  <c r="I118" i="18"/>
  <c r="J64" i="18"/>
  <c r="I64" i="18"/>
  <c r="J34" i="18"/>
  <c r="I34" i="18"/>
  <c r="I36" i="18"/>
  <c r="J36" i="18"/>
  <c r="I78" i="18"/>
  <c r="J78" i="18"/>
  <c r="I48" i="18"/>
  <c r="J48" i="18"/>
  <c r="I120" i="18"/>
  <c r="J120" i="18"/>
  <c r="I90" i="18"/>
  <c r="J90" i="18"/>
  <c r="I132" i="18"/>
  <c r="J132" i="18"/>
  <c r="M35" i="15"/>
  <c r="L35" i="15"/>
  <c r="J35" i="15"/>
  <c r="I35" i="15"/>
  <c r="K35" i="15"/>
  <c r="M77" i="15"/>
  <c r="L77" i="15"/>
  <c r="K77" i="15"/>
  <c r="I77" i="15"/>
  <c r="J77" i="15"/>
  <c r="M91" i="15"/>
  <c r="L91" i="15"/>
  <c r="J91" i="15"/>
  <c r="I91" i="15"/>
  <c r="K91" i="15"/>
  <c r="V9" i="17"/>
  <c r="U9" i="17"/>
  <c r="W9" i="17"/>
  <c r="M161" i="19"/>
  <c r="M149" i="19"/>
  <c r="M135" i="19"/>
  <c r="M133" i="19"/>
  <c r="M121" i="19"/>
  <c r="M119" i="19"/>
  <c r="M107" i="19"/>
  <c r="M105" i="19"/>
  <c r="M93" i="19"/>
  <c r="M91" i="19"/>
  <c r="M79" i="19"/>
  <c r="M77" i="19"/>
  <c r="M65" i="19"/>
  <c r="M63" i="19"/>
  <c r="M51" i="19"/>
  <c r="M49" i="19"/>
  <c r="M37" i="19"/>
  <c r="M147" i="19"/>
  <c r="L7" i="19"/>
  <c r="M21" i="19"/>
  <c r="M9" i="19"/>
  <c r="M35" i="19"/>
  <c r="M23" i="19"/>
  <c r="P147" i="19"/>
  <c r="R147" i="19"/>
  <c r="P161" i="19"/>
  <c r="R161" i="19"/>
  <c r="P149" i="19"/>
  <c r="R149" i="19"/>
  <c r="R135" i="19"/>
  <c r="P135" i="19"/>
  <c r="R133" i="19"/>
  <c r="P133" i="19"/>
  <c r="R121" i="19"/>
  <c r="P121" i="19"/>
  <c r="R119" i="19"/>
  <c r="P119" i="19"/>
  <c r="R107" i="19"/>
  <c r="P107" i="19"/>
  <c r="R105" i="19"/>
  <c r="P105" i="19"/>
  <c r="R93" i="19"/>
  <c r="P93" i="19"/>
  <c r="R91" i="19"/>
  <c r="P91" i="19"/>
  <c r="R79" i="19"/>
  <c r="P79" i="19"/>
  <c r="R77" i="19"/>
  <c r="P77" i="19"/>
  <c r="R65" i="19"/>
  <c r="P65" i="19"/>
  <c r="R63" i="19"/>
  <c r="P63" i="19"/>
  <c r="R51" i="19"/>
  <c r="P51" i="19"/>
  <c r="R49" i="19"/>
  <c r="P49" i="19"/>
  <c r="R37" i="19"/>
  <c r="P37" i="19"/>
  <c r="R35" i="19"/>
  <c r="P35" i="19"/>
  <c r="R23" i="19"/>
  <c r="P23" i="19"/>
  <c r="R9" i="19"/>
  <c r="P9" i="19"/>
  <c r="M147" i="15"/>
  <c r="L147" i="15"/>
  <c r="K147" i="15"/>
  <c r="J147" i="15"/>
  <c r="I147" i="15"/>
  <c r="R120" i="18"/>
  <c r="Q120" i="18"/>
  <c r="R90" i="18"/>
  <c r="Q90" i="18"/>
  <c r="R36" i="18"/>
  <c r="Q36" i="18"/>
  <c r="R134" i="18"/>
  <c r="Q134" i="18"/>
  <c r="R104" i="18"/>
  <c r="Q104" i="18"/>
  <c r="R50" i="18"/>
  <c r="Q50" i="18"/>
  <c r="R20" i="18"/>
  <c r="Q20" i="18"/>
  <c r="R132" i="18"/>
  <c r="Q132" i="18"/>
  <c r="R78" i="18"/>
  <c r="Q78" i="18"/>
  <c r="R48" i="18"/>
  <c r="Q48" i="18"/>
  <c r="R146" i="18"/>
  <c r="Q146" i="18"/>
  <c r="R92" i="18"/>
  <c r="Q92" i="18"/>
  <c r="R62" i="18"/>
  <c r="Q62" i="18"/>
  <c r="Q76" i="18"/>
  <c r="R76" i="18"/>
  <c r="Q106" i="18"/>
  <c r="R106" i="18"/>
  <c r="I106" i="21"/>
  <c r="H106" i="21"/>
  <c r="I134" i="21"/>
  <c r="H134" i="21"/>
  <c r="H64" i="21"/>
  <c r="I64" i="21"/>
  <c r="I50" i="21"/>
  <c r="H50" i="21"/>
  <c r="I78" i="21"/>
  <c r="H78" i="21"/>
  <c r="H148" i="21"/>
  <c r="I148" i="21"/>
  <c r="H36" i="21"/>
  <c r="I36" i="21"/>
  <c r="H92" i="21"/>
  <c r="I92" i="21"/>
  <c r="I22" i="21"/>
  <c r="H22" i="21"/>
  <c r="H162" i="21"/>
  <c r="I162" i="21"/>
  <c r="I120" i="21"/>
  <c r="H120" i="21"/>
  <c r="R8" i="18"/>
  <c r="Q8" i="18"/>
  <c r="Q34" i="18"/>
  <c r="R34" i="18"/>
  <c r="Q64" i="18"/>
  <c r="R64" i="18"/>
  <c r="U9" i="16"/>
  <c r="W9" i="16"/>
  <c r="V9" i="16"/>
  <c r="V21" i="16"/>
  <c r="W21" i="16"/>
  <c r="U21" i="16"/>
  <c r="Q22" i="18"/>
  <c r="R22" i="18"/>
  <c r="D147" i="19"/>
  <c r="D161" i="19"/>
  <c r="D149" i="19"/>
  <c r="C7" i="19"/>
  <c r="I7" i="19" s="1"/>
  <c r="D21" i="19"/>
  <c r="D9" i="19"/>
  <c r="D133" i="19"/>
  <c r="D121" i="19"/>
  <c r="D91" i="19"/>
  <c r="D79" i="19"/>
  <c r="D49" i="19"/>
  <c r="D37" i="19"/>
  <c r="D23" i="19"/>
  <c r="D135" i="19"/>
  <c r="D105" i="19"/>
  <c r="D93" i="19"/>
  <c r="D63" i="19"/>
  <c r="D51" i="19"/>
  <c r="D35" i="19"/>
  <c r="D119" i="19"/>
  <c r="D107" i="19"/>
  <c r="D77" i="19"/>
  <c r="D65" i="19"/>
  <c r="Y106" i="18"/>
  <c r="X106" i="18"/>
  <c r="Y160" i="18"/>
  <c r="X160" i="18"/>
  <c r="J161" i="19"/>
  <c r="H161" i="19"/>
  <c r="J149" i="19"/>
  <c r="H149" i="19"/>
  <c r="H135" i="19"/>
  <c r="J135" i="19"/>
  <c r="H133" i="19"/>
  <c r="J133" i="19"/>
  <c r="H121" i="19"/>
  <c r="J121" i="19"/>
  <c r="H119" i="19"/>
  <c r="J119" i="19"/>
  <c r="H107" i="19"/>
  <c r="J107" i="19"/>
  <c r="H105" i="19"/>
  <c r="J105" i="19"/>
  <c r="H93" i="19"/>
  <c r="J93" i="19"/>
  <c r="H91" i="19"/>
  <c r="J91" i="19"/>
  <c r="H79" i="19"/>
  <c r="J79" i="19"/>
  <c r="H77" i="19"/>
  <c r="J77" i="19"/>
  <c r="H65" i="19"/>
  <c r="J65" i="19"/>
  <c r="H63" i="19"/>
  <c r="J63" i="19"/>
  <c r="H51" i="19"/>
  <c r="J51" i="19"/>
  <c r="H49" i="19"/>
  <c r="J49" i="19"/>
  <c r="H37" i="19"/>
  <c r="J37" i="19"/>
  <c r="Y8" i="18"/>
  <c r="X8" i="18"/>
  <c r="Y62" i="18"/>
  <c r="X62" i="18"/>
  <c r="Y92" i="18"/>
  <c r="X92" i="18"/>
  <c r="Y146" i="18"/>
  <c r="X146" i="18"/>
  <c r="H23" i="19"/>
  <c r="J23" i="19"/>
  <c r="H35" i="19"/>
  <c r="J35" i="19"/>
  <c r="Y34" i="18"/>
  <c r="X34" i="18"/>
  <c r="Y64" i="18"/>
  <c r="X64" i="18"/>
  <c r="Y118" i="18"/>
  <c r="X118" i="18"/>
  <c r="Y148" i="18"/>
  <c r="X148" i="18"/>
  <c r="S161" i="19"/>
  <c r="Y161" i="19" s="1"/>
  <c r="S149" i="19"/>
  <c r="Y149" i="19" s="1"/>
  <c r="S147" i="19"/>
  <c r="S135" i="19"/>
  <c r="S133" i="19"/>
  <c r="Y133" i="19" s="1"/>
  <c r="S121" i="19"/>
  <c r="S119" i="19"/>
  <c r="Y119" i="19" s="1"/>
  <c r="S107" i="19"/>
  <c r="S105" i="19"/>
  <c r="Y105" i="19" s="1"/>
  <c r="S93" i="19"/>
  <c r="S91" i="19"/>
  <c r="Y91" i="19" s="1"/>
  <c r="S79" i="19"/>
  <c r="S77" i="19"/>
  <c r="Y77" i="19" s="1"/>
  <c r="S65" i="19"/>
  <c r="S63" i="19"/>
  <c r="Y63" i="19" s="1"/>
  <c r="S51" i="19"/>
  <c r="S49" i="19"/>
  <c r="Y49" i="19" s="1"/>
  <c r="S37" i="19"/>
  <c r="S35" i="19"/>
  <c r="Y35" i="19" s="1"/>
  <c r="S23" i="19"/>
  <c r="Y7" i="19"/>
  <c r="S9" i="19"/>
  <c r="S21" i="19"/>
  <c r="Y21" i="19" s="1"/>
  <c r="H9" i="19"/>
  <c r="J9" i="19"/>
  <c r="H21" i="19"/>
  <c r="J21" i="19"/>
  <c r="Y20" i="18"/>
  <c r="X20" i="18"/>
  <c r="Y50" i="18"/>
  <c r="X50" i="18"/>
  <c r="Y104" i="18"/>
  <c r="X104" i="18"/>
  <c r="Y134" i="18"/>
  <c r="X134" i="18"/>
  <c r="Q22" i="21"/>
  <c r="R22" i="21"/>
  <c r="X161" i="19"/>
  <c r="X149" i="19"/>
  <c r="Y147" i="19"/>
  <c r="X147" i="19"/>
  <c r="X9" i="19"/>
  <c r="Y9" i="19"/>
  <c r="X21" i="19"/>
  <c r="Y23" i="19"/>
  <c r="X23" i="19"/>
  <c r="X35" i="19"/>
  <c r="Y37" i="19"/>
  <c r="X37" i="19"/>
  <c r="X49" i="19"/>
  <c r="Y51" i="19"/>
  <c r="X51" i="19"/>
  <c r="X63" i="19"/>
  <c r="Y65" i="19"/>
  <c r="X65" i="19"/>
  <c r="X77" i="19"/>
  <c r="Y79" i="19"/>
  <c r="X79" i="19"/>
  <c r="X91" i="19"/>
  <c r="Y93" i="19"/>
  <c r="X93" i="19"/>
  <c r="X105" i="19"/>
  <c r="Y107" i="19"/>
  <c r="X107" i="19"/>
  <c r="X119" i="19"/>
  <c r="Y121" i="19"/>
  <c r="X121" i="19"/>
  <c r="X133" i="19"/>
  <c r="Y135" i="19"/>
  <c r="X135" i="19"/>
  <c r="W21" i="22"/>
  <c r="V21" i="22"/>
  <c r="X21" i="22"/>
  <c r="U20" i="23"/>
  <c r="W20" i="23"/>
  <c r="V20" i="23"/>
  <c r="J132" i="23"/>
  <c r="K132" i="23"/>
  <c r="I132" i="23"/>
  <c r="I62" i="23"/>
  <c r="K62" i="23"/>
  <c r="J62" i="23"/>
  <c r="I20" i="23"/>
  <c r="J20" i="23"/>
  <c r="K20" i="23"/>
  <c r="I90" i="23"/>
  <c r="J90" i="23"/>
  <c r="K90" i="23"/>
  <c r="E29" i="27"/>
  <c r="E95" i="27"/>
  <c r="E73" i="27"/>
  <c r="E51" i="27"/>
  <c r="C7" i="27"/>
  <c r="F8" i="27"/>
  <c r="H109" i="27"/>
  <c r="H108" i="27"/>
  <c r="H107" i="27"/>
  <c r="H106" i="27"/>
  <c r="H103" i="27"/>
  <c r="H100" i="27"/>
  <c r="H97" i="27"/>
  <c r="H105" i="27"/>
  <c r="H102" i="27"/>
  <c r="H99" i="27"/>
  <c r="H101" i="27"/>
  <c r="H104" i="27"/>
  <c r="H98" i="27"/>
  <c r="H30" i="27"/>
  <c r="L21" i="22"/>
  <c r="K21" i="22"/>
  <c r="J21" i="22"/>
  <c r="J86" i="26"/>
  <c r="J85" i="26"/>
  <c r="J84" i="26"/>
  <c r="J83" i="26"/>
  <c r="J82" i="26"/>
  <c r="J81" i="26"/>
  <c r="J80" i="26"/>
  <c r="J79" i="26"/>
  <c r="J78" i="26"/>
  <c r="J77" i="26"/>
  <c r="J76" i="26"/>
  <c r="J75" i="26"/>
  <c r="G29" i="26"/>
  <c r="G227" i="26"/>
  <c r="G161" i="26"/>
  <c r="G73" i="26"/>
  <c r="G253" i="26"/>
  <c r="G95" i="26"/>
  <c r="G205" i="26"/>
  <c r="G117" i="26"/>
  <c r="G183" i="26"/>
  <c r="G139" i="26"/>
  <c r="G51" i="26"/>
  <c r="E7" i="26"/>
  <c r="H8" i="26" s="1"/>
  <c r="J87" i="26"/>
  <c r="J63" i="26"/>
  <c r="J60" i="26"/>
  <c r="J57" i="26"/>
  <c r="J54" i="26"/>
  <c r="J58" i="26"/>
  <c r="J65" i="26"/>
  <c r="J64" i="26"/>
  <c r="J53" i="26"/>
  <c r="J59" i="26"/>
  <c r="J62" i="26"/>
  <c r="J55" i="26"/>
  <c r="J56" i="26"/>
  <c r="J61" i="26"/>
  <c r="L77" i="22"/>
  <c r="J77" i="22"/>
  <c r="K77" i="22"/>
  <c r="J35" i="22"/>
  <c r="K35" i="22"/>
  <c r="L35" i="22"/>
  <c r="J49" i="22"/>
  <c r="K49" i="22"/>
  <c r="L49" i="22"/>
  <c r="K63" i="22"/>
  <c r="J63" i="22"/>
  <c r="L63" i="22"/>
  <c r="J104" i="23"/>
  <c r="I104" i="23"/>
  <c r="K104" i="23"/>
  <c r="I118" i="23"/>
  <c r="J118" i="23"/>
  <c r="K118" i="23"/>
  <c r="L91" i="22"/>
  <c r="J91" i="22"/>
  <c r="K91" i="22"/>
  <c r="I146" i="23"/>
  <c r="K146" i="23"/>
  <c r="J146" i="23"/>
  <c r="J160" i="23"/>
  <c r="K160" i="23"/>
  <c r="I160" i="23"/>
  <c r="K90" i="29"/>
  <c r="J90" i="29"/>
  <c r="I90" i="29"/>
  <c r="I118" i="30"/>
  <c r="L118" i="30"/>
  <c r="M118" i="30"/>
  <c r="K118" i="30"/>
  <c r="J118" i="30"/>
  <c r="K146" i="28"/>
  <c r="I146" i="28"/>
  <c r="J146" i="28"/>
  <c r="K34" i="28"/>
  <c r="J34" i="28"/>
  <c r="I34" i="28"/>
  <c r="K62" i="28"/>
  <c r="J62" i="28"/>
  <c r="I62" i="28"/>
  <c r="K90" i="28"/>
  <c r="J90" i="28"/>
  <c r="I90" i="28"/>
  <c r="K118" i="28"/>
  <c r="J118" i="28"/>
  <c r="I118" i="28"/>
  <c r="K160" i="28"/>
  <c r="I160" i="28"/>
  <c r="J160" i="28"/>
  <c r="J160" i="29"/>
  <c r="I160" i="29"/>
  <c r="K160" i="29"/>
  <c r="J132" i="29"/>
  <c r="I132" i="29"/>
  <c r="K132" i="29"/>
  <c r="J104" i="29"/>
  <c r="K104" i="29"/>
  <c r="I104" i="29"/>
  <c r="J76" i="29"/>
  <c r="K76" i="29"/>
  <c r="I76" i="29"/>
  <c r="J48" i="29"/>
  <c r="I48" i="29"/>
  <c r="K48" i="29"/>
  <c r="J20" i="29"/>
  <c r="I20" i="29"/>
  <c r="K20" i="29"/>
  <c r="K34" i="29"/>
  <c r="I34" i="29"/>
  <c r="J34" i="29"/>
  <c r="K62" i="29"/>
  <c r="J62" i="29"/>
  <c r="I62" i="29"/>
  <c r="K118" i="29"/>
  <c r="J118" i="29"/>
  <c r="I118" i="29"/>
  <c r="J132" i="30"/>
  <c r="I132" i="30"/>
  <c r="M132" i="30"/>
  <c r="L132" i="30"/>
  <c r="K132" i="30"/>
  <c r="K146" i="30"/>
  <c r="J146" i="30"/>
  <c r="M146" i="30"/>
  <c r="L146" i="30"/>
  <c r="I146" i="30"/>
  <c r="L160" i="30"/>
  <c r="K160" i="30"/>
  <c r="I160" i="30"/>
  <c r="M160" i="30"/>
  <c r="J160" i="30"/>
  <c r="M104" i="30"/>
  <c r="K104" i="30"/>
  <c r="L104" i="30"/>
  <c r="J104" i="30"/>
  <c r="I104" i="30"/>
  <c r="J62" i="30"/>
  <c r="I62" i="30"/>
  <c r="M62" i="30"/>
  <c r="L62" i="30"/>
  <c r="K62" i="30"/>
  <c r="K76" i="30"/>
  <c r="J76" i="30"/>
  <c r="I76" i="30"/>
  <c r="M76" i="30"/>
  <c r="L76" i="30"/>
  <c r="M90" i="30"/>
  <c r="L90" i="30"/>
  <c r="K90" i="30"/>
  <c r="J90" i="30"/>
  <c r="I90" i="30"/>
  <c r="M20" i="30"/>
  <c r="L20" i="30"/>
  <c r="K20" i="30"/>
  <c r="J20" i="30"/>
  <c r="I20" i="30"/>
  <c r="M34" i="30"/>
  <c r="L34" i="30"/>
  <c r="K34" i="30"/>
  <c r="J34" i="30"/>
  <c r="I34" i="30"/>
  <c r="K20" i="28"/>
  <c r="J20" i="28"/>
  <c r="I20" i="28"/>
  <c r="K48" i="28"/>
  <c r="J48" i="28"/>
  <c r="I48" i="28"/>
  <c r="K76" i="28"/>
  <c r="J76" i="28"/>
  <c r="I76" i="28"/>
  <c r="K104" i="28"/>
  <c r="J104" i="28"/>
  <c r="I104" i="28"/>
  <c r="K132" i="28"/>
  <c r="J132" i="28"/>
  <c r="I132" i="28"/>
  <c r="K146" i="29"/>
  <c r="J146" i="29"/>
  <c r="I146" i="29"/>
  <c r="M87" i="35"/>
  <c r="N87" i="35" s="1"/>
  <c r="N75" i="35"/>
  <c r="M129" i="41"/>
  <c r="L129" i="41"/>
  <c r="N129" i="41"/>
  <c r="K129" i="41"/>
  <c r="O129" i="41"/>
  <c r="S16" i="45"/>
  <c r="Q16" i="45"/>
  <c r="R16" i="45"/>
  <c r="P16" i="45"/>
  <c r="T16" i="45"/>
  <c r="I146" i="46"/>
  <c r="G146" i="46"/>
  <c r="H146" i="46"/>
  <c r="K146" i="46" s="1"/>
  <c r="O146" i="47"/>
  <c r="L146" i="47"/>
  <c r="N146" i="47"/>
  <c r="M146" i="47"/>
  <c r="H146" i="45"/>
  <c r="K146" i="45" s="1"/>
  <c r="G146" i="45"/>
  <c r="I146" i="45"/>
  <c r="I146" i="47"/>
  <c r="G146" i="47"/>
  <c r="H146" i="47"/>
  <c r="K146" i="47" s="1"/>
  <c r="J16" i="45"/>
  <c r="H16" i="45"/>
  <c r="I16" i="45"/>
  <c r="F52" i="27" l="1"/>
  <c r="H52" i="27"/>
  <c r="F74" i="27"/>
  <c r="H74" i="27"/>
  <c r="H96" i="27"/>
  <c r="E205" i="26"/>
  <c r="E139" i="26"/>
  <c r="E51" i="26"/>
  <c r="E227" i="26"/>
  <c r="E161" i="26"/>
  <c r="E95" i="26"/>
  <c r="E117" i="26"/>
  <c r="F21" i="26"/>
  <c r="F18" i="26"/>
  <c r="F15" i="26"/>
  <c r="F12" i="26"/>
  <c r="F9" i="26"/>
  <c r="E253" i="26"/>
  <c r="F19" i="26"/>
  <c r="F10" i="26"/>
  <c r="E183" i="26"/>
  <c r="F17" i="26"/>
  <c r="F16" i="26"/>
  <c r="C7" i="26"/>
  <c r="F8" i="26"/>
  <c r="E73" i="26"/>
  <c r="F11" i="26"/>
  <c r="E29" i="26"/>
  <c r="F13" i="26"/>
  <c r="F14" i="26"/>
  <c r="F20" i="26"/>
  <c r="H64" i="26"/>
  <c r="H61" i="26"/>
  <c r="H58" i="26"/>
  <c r="H55" i="26"/>
  <c r="H60" i="26"/>
  <c r="H63" i="26"/>
  <c r="H62" i="26"/>
  <c r="H54" i="26"/>
  <c r="H53" i="26"/>
  <c r="H57" i="26"/>
  <c r="H56" i="26"/>
  <c r="H59" i="26"/>
  <c r="H65" i="26"/>
  <c r="H87" i="26"/>
  <c r="H86" i="26"/>
  <c r="H83" i="26"/>
  <c r="H80" i="26"/>
  <c r="H77" i="26"/>
  <c r="H85" i="26"/>
  <c r="H82" i="26"/>
  <c r="H79" i="26"/>
  <c r="H84" i="26"/>
  <c r="H76" i="26"/>
  <c r="H75" i="26"/>
  <c r="H78" i="26"/>
  <c r="H81" i="26"/>
  <c r="C51" i="27"/>
  <c r="D52" i="27" s="1"/>
  <c r="C73" i="27"/>
  <c r="D74" i="27" s="1"/>
  <c r="D8" i="27"/>
  <c r="C95" i="27"/>
  <c r="D96" i="27" s="1"/>
  <c r="C29" i="27"/>
  <c r="F30" i="27" s="1"/>
  <c r="F109" i="27"/>
  <c r="F108" i="27"/>
  <c r="F107" i="27"/>
  <c r="F106" i="27"/>
  <c r="F105" i="27"/>
  <c r="F104" i="27"/>
  <c r="F103" i="27"/>
  <c r="F102" i="27"/>
  <c r="F101" i="27"/>
  <c r="F100" i="27"/>
  <c r="F99" i="27"/>
  <c r="F98" i="27"/>
  <c r="F97" i="27"/>
  <c r="C147" i="19"/>
  <c r="I147" i="19" s="1"/>
  <c r="C35" i="19"/>
  <c r="I35" i="19" s="1"/>
  <c r="C23" i="19"/>
  <c r="I23" i="19" s="1"/>
  <c r="C135" i="19"/>
  <c r="I135" i="19" s="1"/>
  <c r="C133" i="19"/>
  <c r="I133" i="19" s="1"/>
  <c r="C121" i="19"/>
  <c r="I121" i="19" s="1"/>
  <c r="C119" i="19"/>
  <c r="I119" i="19" s="1"/>
  <c r="C107" i="19"/>
  <c r="I107" i="19" s="1"/>
  <c r="C105" i="19"/>
  <c r="I105" i="19" s="1"/>
  <c r="C93" i="19"/>
  <c r="I93" i="19" s="1"/>
  <c r="C91" i="19"/>
  <c r="I91" i="19" s="1"/>
  <c r="C79" i="19"/>
  <c r="I79" i="19" s="1"/>
  <c r="C77" i="19"/>
  <c r="I77" i="19" s="1"/>
  <c r="C65" i="19"/>
  <c r="I65" i="19" s="1"/>
  <c r="C63" i="19"/>
  <c r="I63" i="19" s="1"/>
  <c r="C51" i="19"/>
  <c r="I51" i="19" s="1"/>
  <c r="C49" i="19"/>
  <c r="I49" i="19" s="1"/>
  <c r="C37" i="19"/>
  <c r="I37" i="19" s="1"/>
  <c r="C21" i="19"/>
  <c r="I21" i="19" s="1"/>
  <c r="C9" i="19"/>
  <c r="I9" i="19" s="1"/>
  <c r="C161" i="19"/>
  <c r="I161" i="19" s="1"/>
  <c r="C149" i="19"/>
  <c r="I149" i="19" s="1"/>
  <c r="L147" i="19"/>
  <c r="K7" i="19"/>
  <c r="Q7" i="19" s="1"/>
  <c r="L35" i="19"/>
  <c r="L23" i="19"/>
  <c r="L135" i="19"/>
  <c r="L133" i="19"/>
  <c r="L121" i="19"/>
  <c r="L119" i="19"/>
  <c r="L107" i="19"/>
  <c r="L105" i="19"/>
  <c r="L93" i="19"/>
  <c r="L91" i="19"/>
  <c r="L79" i="19"/>
  <c r="L77" i="19"/>
  <c r="L65" i="19"/>
  <c r="L63" i="19"/>
  <c r="L51" i="19"/>
  <c r="L49" i="19"/>
  <c r="L37" i="19"/>
  <c r="L21" i="19"/>
  <c r="L9" i="19"/>
  <c r="L161" i="19"/>
  <c r="L149" i="19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E7" i="10"/>
  <c r="H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E73" i="10"/>
  <c r="H74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E51" i="10"/>
  <c r="C249" i="8"/>
  <c r="D250" i="8" s="1"/>
  <c r="C183" i="8"/>
  <c r="D184" i="8" s="1"/>
  <c r="C117" i="8"/>
  <c r="D118" i="8" s="1"/>
  <c r="C227" i="8"/>
  <c r="D228" i="8" s="1"/>
  <c r="C161" i="8"/>
  <c r="D162" i="8" s="1"/>
  <c r="C139" i="8"/>
  <c r="D140" i="8" s="1"/>
  <c r="C271" i="8"/>
  <c r="D272" i="8" s="1"/>
  <c r="C205" i="8"/>
  <c r="D206" i="8" s="1"/>
  <c r="C95" i="8"/>
  <c r="D96" i="8" s="1"/>
  <c r="C51" i="8"/>
  <c r="C29" i="8"/>
  <c r="D30" i="8" s="1"/>
  <c r="D8" i="8"/>
  <c r="C73" i="8"/>
  <c r="D74" i="8" s="1"/>
  <c r="F87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43" i="10"/>
  <c r="F40" i="10"/>
  <c r="F37" i="10"/>
  <c r="F34" i="10"/>
  <c r="F31" i="10"/>
  <c r="F41" i="10"/>
  <c r="F38" i="10"/>
  <c r="F35" i="10"/>
  <c r="F32" i="10"/>
  <c r="F36" i="10"/>
  <c r="C29" i="10"/>
  <c r="F42" i="10"/>
  <c r="F33" i="10"/>
  <c r="F30" i="10"/>
  <c r="F39" i="10"/>
  <c r="L57" i="12"/>
  <c r="K57" i="12"/>
  <c r="I57" i="12"/>
  <c r="J57" i="12"/>
  <c r="F96" i="27" l="1"/>
  <c r="D30" i="10"/>
  <c r="D52" i="8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C51" i="10"/>
  <c r="D52" i="10" s="1"/>
  <c r="F74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C73" i="10"/>
  <c r="D74" i="10" s="1"/>
  <c r="C7" i="10"/>
  <c r="F8" i="10"/>
  <c r="F21" i="10"/>
  <c r="F18" i="10"/>
  <c r="F15" i="10"/>
  <c r="F12" i="10"/>
  <c r="F9" i="10"/>
  <c r="F20" i="10"/>
  <c r="F17" i="10"/>
  <c r="F14" i="10"/>
  <c r="F11" i="10"/>
  <c r="F13" i="10"/>
  <c r="F19" i="10"/>
  <c r="F10" i="10"/>
  <c r="F16" i="10"/>
  <c r="K161" i="19"/>
  <c r="Q161" i="19" s="1"/>
  <c r="K149" i="19"/>
  <c r="Q149" i="19" s="1"/>
  <c r="K147" i="19"/>
  <c r="Q147" i="19" s="1"/>
  <c r="K135" i="19"/>
  <c r="Q135" i="19" s="1"/>
  <c r="K133" i="19"/>
  <c r="Q133" i="19" s="1"/>
  <c r="K121" i="19"/>
  <c r="Q121" i="19" s="1"/>
  <c r="K119" i="19"/>
  <c r="Q119" i="19" s="1"/>
  <c r="K107" i="19"/>
  <c r="Q107" i="19" s="1"/>
  <c r="K105" i="19"/>
  <c r="Q105" i="19" s="1"/>
  <c r="K93" i="19"/>
  <c r="Q93" i="19" s="1"/>
  <c r="K91" i="19"/>
  <c r="Q91" i="19" s="1"/>
  <c r="K79" i="19"/>
  <c r="Q79" i="19" s="1"/>
  <c r="K77" i="19"/>
  <c r="Q77" i="19" s="1"/>
  <c r="K65" i="19"/>
  <c r="Q65" i="19" s="1"/>
  <c r="K63" i="19"/>
  <c r="Q63" i="19" s="1"/>
  <c r="K51" i="19"/>
  <c r="Q51" i="19" s="1"/>
  <c r="K49" i="19"/>
  <c r="Q49" i="19" s="1"/>
  <c r="K37" i="19"/>
  <c r="Q37" i="19" s="1"/>
  <c r="K35" i="19"/>
  <c r="Q35" i="19" s="1"/>
  <c r="K23" i="19"/>
  <c r="Q23" i="19" s="1"/>
  <c r="K21" i="19"/>
  <c r="Q21" i="19" s="1"/>
  <c r="K9" i="19"/>
  <c r="Q9" i="19" s="1"/>
  <c r="D30" i="27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C73" i="26"/>
  <c r="D74" i="26" s="1"/>
  <c r="C253" i="26"/>
  <c r="D254" i="26" s="1"/>
  <c r="C183" i="26"/>
  <c r="D184" i="26" s="1"/>
  <c r="C117" i="26"/>
  <c r="D118" i="26" s="1"/>
  <c r="C205" i="26"/>
  <c r="D206" i="26" s="1"/>
  <c r="D8" i="26"/>
  <c r="C227" i="26"/>
  <c r="D228" i="26" s="1"/>
  <c r="C139" i="26"/>
  <c r="D140" i="26" s="1"/>
  <c r="C51" i="26"/>
  <c r="C29" i="26"/>
  <c r="D30" i="26" s="1"/>
  <c r="C95" i="26"/>
  <c r="D96" i="26" s="1"/>
  <c r="C161" i="26"/>
  <c r="D162" i="26" s="1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267" i="26"/>
  <c r="F263" i="26"/>
  <c r="F259" i="26"/>
  <c r="F255" i="26"/>
  <c r="F265" i="26"/>
  <c r="F261" i="26"/>
  <c r="F257" i="26"/>
  <c r="F258" i="26"/>
  <c r="F256" i="26"/>
  <c r="F264" i="26"/>
  <c r="F262" i="26"/>
  <c r="F266" i="26"/>
  <c r="F260" i="26"/>
  <c r="F131" i="26"/>
  <c r="F128" i="26"/>
  <c r="F125" i="26"/>
  <c r="F130" i="26"/>
  <c r="F127" i="26"/>
  <c r="F124" i="26"/>
  <c r="F121" i="26"/>
  <c r="F129" i="26"/>
  <c r="F126" i="26"/>
  <c r="F123" i="26"/>
  <c r="F122" i="26"/>
  <c r="F120" i="26"/>
  <c r="F119" i="26"/>
  <c r="F109" i="26"/>
  <c r="F108" i="26"/>
  <c r="F105" i="26"/>
  <c r="F102" i="26"/>
  <c r="F99" i="26"/>
  <c r="F107" i="26"/>
  <c r="F104" i="26"/>
  <c r="F101" i="26"/>
  <c r="F98" i="26"/>
  <c r="F106" i="26"/>
  <c r="F97" i="26"/>
  <c r="F100" i="26"/>
  <c r="F103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87" i="26"/>
  <c r="F62" i="26"/>
  <c r="F61" i="26"/>
  <c r="F53" i="26"/>
  <c r="F60" i="26"/>
  <c r="F59" i="26"/>
  <c r="F65" i="26"/>
  <c r="F55" i="26"/>
  <c r="F54" i="26"/>
  <c r="F64" i="26"/>
  <c r="F57" i="26"/>
  <c r="F56" i="26"/>
  <c r="F63" i="26"/>
  <c r="F58" i="26"/>
  <c r="F151" i="26"/>
  <c r="F148" i="26"/>
  <c r="F145" i="26"/>
  <c r="F142" i="26"/>
  <c r="F153" i="26"/>
  <c r="F150" i="26"/>
  <c r="F147" i="26"/>
  <c r="F144" i="26"/>
  <c r="F141" i="26"/>
  <c r="F152" i="26"/>
  <c r="F143" i="26"/>
  <c r="F149" i="26"/>
  <c r="F146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D52" i="26" l="1"/>
  <c r="D8" i="10"/>
</calcChain>
</file>

<file path=xl/sharedStrings.xml><?xml version="1.0" encoding="utf-8"?>
<sst xmlns="http://schemas.openxmlformats.org/spreadsheetml/2006/main" count="5940" uniqueCount="329">
  <si>
    <t>Total</t>
  </si>
  <si>
    <t>Estadísticas indicadores alojativos</t>
  </si>
  <si>
    <t>Comparativa Canarias e islas</t>
  </si>
  <si>
    <t>Resumen indicadores municipios Tenerife</t>
  </si>
  <si>
    <t>Oferta alojativa en funcionamiento</t>
  </si>
  <si>
    <t>Plazas alojativas Tenerife y municipios</t>
  </si>
  <si>
    <t>Establecimientos alojativos Tenerife y municipios</t>
  </si>
  <si>
    <t>Indicadores alojativos hotel + apartamento</t>
  </si>
  <si>
    <t>Viajeros entrados</t>
  </si>
  <si>
    <t>Viajeros peninsulares entrados en los hoteles y apartamentos de Tenerife por municipio de alojamiento - acumulado</t>
  </si>
  <si>
    <t xml:space="preserve">Viajeros entrados en los establecimientos alojativos de Tenerife por municipio y categoría </t>
  </si>
  <si>
    <t>Viajeros entrados en los establecimientos alojativos de Tenerife según lugar de residencia y municipio de alojamiento - año</t>
  </si>
  <si>
    <t>Viajeros entrados en los establecimientos alojativos de Tenerife según lugar de residencia y municipio de alojamiento - mes</t>
  </si>
  <si>
    <t>Viajeros entrados en los establecimientos alojativos de Tenerife según lugar de residencia y municipio de alojamiento - acumulado</t>
  </si>
  <si>
    <t>Viajeros entrados en los hoteles de Tenerife según lugar de residencia y municipio de alojamiento - acumulado</t>
  </si>
  <si>
    <t>Viajeros entrados en los apartamentos de Tenerife según lugar de residencia y municipio de alojamiento - acumulado</t>
  </si>
  <si>
    <t>Viajeros entrados en los establecimientos hoteleros de Tenerife según lugar de residencia, categoría y municipio del alojamiento - acumulado</t>
  </si>
  <si>
    <t>Viajeros entrados en los establecimientos hoteleros de Tenerife según lugar de residencia, categoría y municipio del alojamiento - año</t>
  </si>
  <si>
    <t>Viajeros alojados</t>
  </si>
  <si>
    <t>Viajeros alojados en los establecimientos alojativos de Tenerife según lugar de residencia y municipio de alojamiento - mes</t>
  </si>
  <si>
    <t>Viajeros alojados en los establecimientos alojativos de Tenerife según lugar de residencia y municipio de alojamiento - acumulado</t>
  </si>
  <si>
    <t>Viajeros alojados en los establecimientos alojativos de Tenerife según lugar de residencia y municipio de alojamiento - año</t>
  </si>
  <si>
    <t>Pernoctaciones</t>
  </si>
  <si>
    <t>Estancia media</t>
  </si>
  <si>
    <t>Tasa de ocupación</t>
  </si>
  <si>
    <t>indicadores rentabilidad</t>
  </si>
  <si>
    <t xml:space="preserve">Indicadores de rentabilidad:Tarifa media diaria (ADR); ingresos por habitación disponible (RevPAR); ingresos totales en los establecimientos alojativos Tenerife por municipio  (hotel + apartamento) </t>
  </si>
  <si>
    <t>Tarifa media diaria (ADR) Tenerife y municipios</t>
  </si>
  <si>
    <t>Ingresos medios por habitación (RevPar) Tenerife y municipios</t>
  </si>
  <si>
    <t>Viajeros españoles entrados en hoteles y apartamentos</t>
  </si>
  <si>
    <t>Viajeros españoles entrados en los hoteles y apartamentos de Tenerife por municipio de alojamiento</t>
  </si>
  <si>
    <t>Viajeros peninsulares entrados en los hoteles y apartamentos de Tenerife por municipio de alojamiento</t>
  </si>
  <si>
    <t>Viajeros canarios entrados en los hoteles y apartamentos de Tenerife por municipio de alojamiento</t>
  </si>
  <si>
    <t>total</t>
  </si>
  <si>
    <t>hoteleros</t>
  </si>
  <si>
    <t>apartamentos</t>
  </si>
  <si>
    <t>Viajeros alojados*</t>
  </si>
  <si>
    <t>Ocupación por plaza</t>
  </si>
  <si>
    <t>Plazas estimadas en el mes</t>
  </si>
  <si>
    <t>*dato publicado ISTAC
FUENTE: Encuestas Alojamientos Turísticos (ISTAC). ELABORACIÓN: Turismo de Tenerife.</t>
  </si>
  <si>
    <t>Plazas estimadas
promedio</t>
  </si>
  <si>
    <t>*dato calculado viajeros alodos periodo=viajeros alojados en enero + SUM(viajeros entrados febrero hasta mes actual)
FUENTE: Encuestas Alojamientos Turísticos (ISTAC). ELABORACIÓN: Turismo de Tenerife.</t>
  </si>
  <si>
    <t>Plazas estimadas
Promedio anual</t>
  </si>
  <si>
    <t>Nota: el ISTAC solo oferce información de desagregada de los municipios que figuran en las tablas. 
Para cualquier consulta contactar con ISTAC a través del correo consultas.istac@gobiernodecanarias.org</t>
  </si>
  <si>
    <t>Resumen de indicadores turísticos municipios turísticos de Tenerife</t>
  </si>
  <si>
    <t>INDICADORES TURÍSTICOS</t>
  </si>
  <si>
    <t>Tenerife</t>
  </si>
  <si>
    <t>Adeje</t>
  </si>
  <si>
    <t>Arona</t>
  </si>
  <si>
    <t>Granadilla de Abona</t>
  </si>
  <si>
    <t>Guía de Isora</t>
  </si>
  <si>
    <t>Puerto de la Cruz</t>
  </si>
  <si>
    <t>San Cristóbal de La Laguna</t>
  </si>
  <si>
    <t>San Miguel de Abona</t>
  </si>
  <si>
    <t>Santa Cruz de Tenerife</t>
  </si>
  <si>
    <t>Santiago del Teide</t>
  </si>
  <si>
    <t>Resto de Tenerife</t>
  </si>
  <si>
    <t>Plazas estimadas del mes</t>
  </si>
  <si>
    <t>FUENTE: Encuestas Alojamientos Turísticos (ISTAC). ELABORACIÓN: Turismo de Tenerife.</t>
  </si>
  <si>
    <t>Resumen de indicadores turísticos Canarias e islas</t>
  </si>
  <si>
    <t>Plazas estimadas
promedio anual</t>
  </si>
  <si>
    <t>Promedio anual de plazas en funcionamiento</t>
  </si>
  <si>
    <t>plazas en funcionamiento en el mes</t>
  </si>
  <si>
    <t>Hotel</t>
  </si>
  <si>
    <t>4, 5 Estrellas</t>
  </si>
  <si>
    <t>1, 2, 3 Estrellas</t>
  </si>
  <si>
    <t>Apartamento</t>
  </si>
  <si>
    <t>Promedio anual de establecimientos en funcionamiento</t>
  </si>
  <si>
    <t>establecimientos en funcionamiento en el mes</t>
  </si>
  <si>
    <t>año 2020: 1.627.003 (-68,0%)</t>
  </si>
  <si>
    <t>acumulado diciembre 2021: 2.384.391 (46,6%)</t>
  </si>
  <si>
    <t>Total lugares de residencia</t>
  </si>
  <si>
    <t>dato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</si>
  <si>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</si>
  <si>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</si>
  <si>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</si>
  <si>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</si>
  <si>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</si>
  <si>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</si>
  <si>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</si>
  <si>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</si>
  <si>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</si>
  <si>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</si>
  <si>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</si>
  <si>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</si>
  <si>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</si>
  <si>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</si>
  <si>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</si>
  <si>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</si>
  <si>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</t>
  </si>
  <si>
    <t>Septiembre</t>
  </si>
  <si>
    <t>oct</t>
  </si>
  <si>
    <t>Octubre</t>
  </si>
  <si>
    <t>nov</t>
  </si>
  <si>
    <t>Noviembre</t>
  </si>
  <si>
    <t>dic</t>
  </si>
  <si>
    <t>Diciembre</t>
  </si>
  <si>
    <t>año 2020: 491.164 (-58,4%)</t>
  </si>
  <si>
    <t>acumulado diciembre 2021: 846.190 (72,3%)</t>
  </si>
  <si>
    <t>España</t>
  </si>
  <si>
    <t>Total residentes en España</t>
  </si>
  <si>
    <t>año 2020: 256.364 (-61,2%)</t>
  </si>
  <si>
    <t>acumulado diciembre 2021: 401.165 (56,5%)</t>
  </si>
  <si>
    <t>Península</t>
  </si>
  <si>
    <t>año 2020: 234.800 (-54,8%)</t>
  </si>
  <si>
    <t>acumulado diciembre 2021: 445.025 (89,5%)</t>
  </si>
  <si>
    <t>Canarias</t>
  </si>
  <si>
    <t>año 2020: 1.135.839 (-70,9%)</t>
  </si>
  <si>
    <t>acumulado diciembre 2021: 1.538.201 (35,4%)</t>
  </si>
  <si>
    <t>Mundo (excluida España)</t>
  </si>
  <si>
    <t>Total residentes en el extranjero</t>
  </si>
  <si>
    <t>año 2020: 443.259 (-75,1%)</t>
  </si>
  <si>
    <t>acumulado diciembre 2021: 443.278 (0,0%)</t>
  </si>
  <si>
    <t>Reino Unido</t>
  </si>
  <si>
    <t>año 2020: 140.489 (-72,1%)</t>
  </si>
  <si>
    <t>acumulado diciembre 2021: 218.298 (55,4%)</t>
  </si>
  <si>
    <t>Alemania</t>
  </si>
  <si>
    <t>año 2020: 60.127 (-65,0%)</t>
  </si>
  <si>
    <t>acumulado diciembre 2021: 133.006 (121,2%)</t>
  </si>
  <si>
    <t>Francia</t>
  </si>
  <si>
    <t>año 2020: 55.839 (-58,8%)</t>
  </si>
  <si>
    <t>acumulado diciembre 2021: 93.108 (66,7%)</t>
  </si>
  <si>
    <t>Bélgica</t>
  </si>
  <si>
    <t>junio</t>
  </si>
  <si>
    <t>año 2020: 40.096 (-72,1%)</t>
  </si>
  <si>
    <t>acumulado diciembre 2021: 93.513 (133,2%)</t>
  </si>
  <si>
    <t>Países Bajos</t>
  </si>
  <si>
    <t>año 2020: 36.855 (-72,9%)</t>
  </si>
  <si>
    <t>acumulado diciembre 2021: 74.437 (102,0%)</t>
  </si>
  <si>
    <t>año 2020: 27.669 (-76,0%)</t>
  </si>
  <si>
    <t>acumulado diciembre 2021: 42.846 (54,9%)</t>
  </si>
  <si>
    <t>Dinamarca</t>
  </si>
  <si>
    <t>año 2020: 12.033 (-72,1%)</t>
  </si>
  <si>
    <t>acumulado diciembre 2021: 30.544 (153,8%)</t>
  </si>
  <si>
    <t>Suecia</t>
  </si>
  <si>
    <t>Total categorías</t>
  </si>
  <si>
    <t>var 16/15</t>
  </si>
  <si>
    <t>var 17/16</t>
  </si>
  <si>
    <t>var 18/17</t>
  </si>
  <si>
    <t>var 22/21</t>
  </si>
  <si>
    <t>hoteles</t>
  </si>
  <si>
    <t>viajeros entrados</t>
  </si>
  <si>
    <t>var interanual</t>
  </si>
  <si>
    <t>4, 5 estrellas</t>
  </si>
  <si>
    <t>Evolución de viajeros entrados en los hoteles de 4 estrellas de Tenerife</t>
  </si>
  <si>
    <t>1, 2, 3 estrellas</t>
  </si>
  <si>
    <t>Viajeros entrados en los establecimientos alojativos de Tenerife por municipio y categoría 
(hotel + apartamento)</t>
  </si>
  <si>
    <t>Holanda</t>
  </si>
  <si>
    <t>Otros países</t>
  </si>
  <si>
    <t>Mundo (Excluida España)</t>
  </si>
  <si>
    <t>viajeros alojados</t>
  </si>
  <si>
    <t>Evolución de viajeros alojados en los hoteles de 4 estrellas de Tenerife</t>
  </si>
  <si>
    <t>año 2020: 165.282 (-66,0%)</t>
  </si>
  <si>
    <t>acumulado diciembre 2021: 310.940 (88,1%)</t>
  </si>
  <si>
    <t>4 y 5 estrellas</t>
  </si>
  <si>
    <t>verificar los totales año (2020, 2021) con la publicación porque al no tener plazas en algunos meses por el covid da mal el cálculo del dato, o cuando hay algún mes que no da el dato (probablemente que la muestra sea muy pequeña)</t>
  </si>
  <si>
    <t>cambiar el dato cuando se pase a valores</t>
  </si>
  <si>
    <t>año 2020: 0 (-39,9%)</t>
  </si>
  <si>
    <t>acumulado diciembre 2021: 1 (57,7%)</t>
  </si>
  <si>
    <t>Total establecimientos alojativos (hotel + apartamento)</t>
  </si>
  <si>
    <t>año 2020: 0 (-39,0%)</t>
  </si>
  <si>
    <t>acumulado diciembre 2021: 1 (13,3%)</t>
  </si>
  <si>
    <t>año 2020: 0 (-36,7%)</t>
  </si>
  <si>
    <t>acumulado diciembre 2021: 1 (20,6%)</t>
  </si>
  <si>
    <t>año 2020: 0 (-39,4%)</t>
  </si>
  <si>
    <t>acumulado diciembre 2021: 1 (13,1%)</t>
  </si>
  <si>
    <t>año 2020: 0 (-42,1%)</t>
  </si>
  <si>
    <t>acumulado diciembre 2021: 0 (-6,1%)</t>
  </si>
  <si>
    <t xml:space="preserve">Tarifa media diaria ADR por habitación en los establecimientos alojativos Tenerife por municipio  (hotel + apartamento) </t>
  </si>
  <si>
    <t>Ingresos por habitación disponible (RevPAR) en los establecimientos alojativos de Tenerife por municipio  (hotel + apartamento)</t>
  </si>
  <si>
    <t>Ingresos totales en los establecimientos alojativos de Tenerife por municipio  (hotel + apartamento)</t>
  </si>
  <si>
    <t>El ADR o Tarifa Media Diaria son los ingresos medios diarios obtenidos por habitación-apartamento ocupado. Los ingresos hacen referencia a aquellos percibidos por los hoteleros por la prestación del servicio de alojamiento, sin incluir otro tipo de servicios que sí pueda ofrecer el establecimiento.</t>
  </si>
  <si>
    <t>El RevPar o Ingreso por Habitación-Apartamento Disponible son los ingresos medios diarios obtenidos por habitación-apartamento disponible. Los ingresos hacen referencia a aquellos percibidos por los hoteleros por la prestación del servicio de alojamiento, sin incluir otro tipo de servicios que sí pueda ofrecer el establecimiento.</t>
  </si>
  <si>
    <t>Los Ingresos totales son el producto del ADR por las habitaciones ocupadas</t>
  </si>
  <si>
    <t>Los datos del acumulado están calculados como la división entre el aumulado de los ingresos y el acumulados de las habitaciones ocupadas</t>
  </si>
  <si>
    <t>Los datos del acumulado están calculados como la división entre el aumulado de los ingresos y el acumulados de las habitaciones disponibles</t>
  </si>
  <si>
    <t xml:space="preserve">Tarifa media diaria ADR por habitación en los establecimientos alojativos Canarias e islas  (hotel + apartamento) </t>
  </si>
  <si>
    <t>Ingresos por habitación disponible (RevPAR) en los establecimientos alojativos Canarias e islas  (hotel + apartamento)</t>
  </si>
  <si>
    <t>Ingresos totales en los establecimientos alojativos Canarias e islas  (hotel + apartamento)</t>
  </si>
  <si>
    <t>Total Turistas</t>
  </si>
  <si>
    <t>Total España</t>
  </si>
  <si>
    <t>Total 
categorías</t>
  </si>
  <si>
    <t>Alojados 
hoteleros</t>
  </si>
  <si>
    <t>5*</t>
  </si>
  <si>
    <t>Residentes en Tenerife</t>
  </si>
  <si>
    <t>4*</t>
  </si>
  <si>
    <t>Residentes resto de Canarias</t>
  </si>
  <si>
    <t>3*</t>
  </si>
  <si>
    <t>1*</t>
  </si>
  <si>
    <t>FUENTE: Desarrollo Económico, Cabildo Insular de Tenerife. ELABORACIÓN: Turismo de Tenerife.</t>
  </si>
  <si>
    <t>Alojados 
extrahoteleros</t>
  </si>
  <si>
    <t>Turismo español alojado en Tenerife por lugar de residencia</t>
  </si>
  <si>
    <t>%/s total España</t>
  </si>
  <si>
    <t>%/ total turistas</t>
  </si>
  <si>
    <t>Var. Interanual</t>
  </si>
  <si>
    <t>diferencia</t>
  </si>
  <si>
    <t>Distribución de viajeros peninsulares entrados en hoteles y apartamentos de Tenerife por lugar categoría del alojamiento</t>
  </si>
  <si>
    <t>Total viajeros españoles</t>
  </si>
  <si>
    <t>Hoteles</t>
  </si>
  <si>
    <t>Apartamentos</t>
  </si>
  <si>
    <t>,</t>
  </si>
  <si>
    <t>Viajeros españoles entrados en los hoteles y apartamentos de Tenerife por tipología y categoría de alojamiento</t>
  </si>
  <si>
    <t xml:space="preserve">Observación: en 2022 no se publica desagregación por categorías
FUENTE: Desarrollo Económico, Cabildo Insular de Tenerife. ELABORACIÓN: Turismo de Tenerife. </t>
  </si>
  <si>
    <t>Total viajeros peninsulares</t>
  </si>
  <si>
    <t>Viajeros peninsulares entrados en los hoteles y apartamentos de Tenerife por tipología y categoría de alojamiento</t>
  </si>
  <si>
    <t>Total viajeros canarios</t>
  </si>
  <si>
    <t>Viajeros canarios entrados en los hoteles y apartamentos de Tenerife por tipología y categoría de alojamiento</t>
  </si>
  <si>
    <t>Distribución de viajeros españoles entrados en hoteles y apartamentos de Tenerife por municipio de alojamiento</t>
  </si>
  <si>
    <t>Total Tenerife</t>
  </si>
  <si>
    <t>Resto de municipios de Tenerife</t>
  </si>
  <si>
    <t>Distribución de viajeros peninsulares entrados en hoteles y apartamentos de Tenerife por municipio de alojamiento</t>
  </si>
  <si>
    <t>Distribución de viajeros canarios entrados en hoteles y apartamentos de Tenerife por municipio de alojamiento</t>
  </si>
  <si>
    <t>Españoles</t>
  </si>
  <si>
    <t>peninsulares</t>
  </si>
  <si>
    <t>Canarios</t>
  </si>
  <si>
    <t>Acumulado diciembre 2025</t>
  </si>
  <si>
    <t>Resumen indicadores Arona</t>
  </si>
  <si>
    <t>Evolución mensual de viajeros entrados en Arona según lugar de residencia</t>
  </si>
  <si>
    <t>Evolución mensual de viajeros entrados en Arona según categoría del establecimiento</t>
  </si>
  <si>
    <t>Evolución anual de viajeros entrados en Arona según categoría del establecimiento</t>
  </si>
  <si>
    <t>Evolución anual de viajeros alojados en Arona según categoría del establecimiento</t>
  </si>
  <si>
    <t>Evolución mensual de pernoctaciones en Arona según lugar de residencia</t>
  </si>
  <si>
    <t>Evolución mensual de pernoctaciones en Arona según categoría del establecimiento</t>
  </si>
  <si>
    <t>Evolución mensual de estancia media en Arona según lugar de residencia</t>
  </si>
  <si>
    <t>Evolución mensual de estancia media en Arona según categoría del establecimiento</t>
  </si>
  <si>
    <t>Evolución mensual de tasa de ocupación en Arona según categoría del establecimiento</t>
  </si>
  <si>
    <t>Viajeros españoles entrados en los hoteles y apartamentos de Arona según lugar de residencia - acumulado</t>
  </si>
  <si>
    <t>Viajeros españoles entrados en los hoteles y apartamentos de Arona por tipología y categoría de alojamiento - acumulado</t>
  </si>
  <si>
    <t>Viajeros peninsulares entrados en los hoteles y apartamentos de Arona por tipología y categoría de alojamiento - acumulado</t>
  </si>
  <si>
    <t>Viajeros canarios entrados en los hoteles y apartamentos de Arona por tipología y categoría de alojamiento - acumulado</t>
  </si>
  <si>
    <t>Resumen de indicadores turísticos de Tenerife-Arona</t>
  </si>
  <si>
    <t>diciembre 2021</t>
  </si>
  <si>
    <t>diciembre 2022</t>
  </si>
  <si>
    <t>diciembre 2023</t>
  </si>
  <si>
    <t>diciembre 2024</t>
  </si>
  <si>
    <t>diciembre 2025</t>
  </si>
  <si>
    <t>acumulado a diciembre 2021</t>
  </si>
  <si>
    <t>acumulado a diciembre 2022</t>
  </si>
  <si>
    <t>acumulado a diciembre 2023</t>
  </si>
  <si>
    <t>acumulado a diciembre 2024</t>
  </si>
  <si>
    <t>acumulado a diciembre 2025</t>
  </si>
  <si>
    <t>Viajeros  entrados en los establecimientos alojativos de Arona 
(hotel + apartamento)</t>
  </si>
  <si>
    <t>Viajeros españoles entrados en los establecimientos alojativos de Arona 
(hotel + apartamento)</t>
  </si>
  <si>
    <t>Viajeros peninsulares entrados en los establecimientos alojativos de Arona 
(hotel + apartamento)</t>
  </si>
  <si>
    <t>Viajeros canarios entrados en los establecimientos alojativos de Arona 
(hotel + apartamento)</t>
  </si>
  <si>
    <t>Viajeros extranjeros entrados en los establecimientos alojativos de Arona 
(hotel + apartamento)</t>
  </si>
  <si>
    <t>Viajeros británicos entrados en los establecimientos alojativos de Arona 
(hotel + apartamento)</t>
  </si>
  <si>
    <t>Viajeros alemanes entrados en los establecimientos alojativos de Arona 
(hotel + apartamento)</t>
  </si>
  <si>
    <t>Viajeros franceses entrados en los establecimientos alojativos de Arona 
(hotel + apartamento)</t>
  </si>
  <si>
    <t>Viajeros belgas entrados en los establecimientos alojativos de Arona 
(hotel + apartamento)</t>
  </si>
  <si>
    <t>Viajeros holandeses entrados en los establecimientos alojativos de Arona 
(hotel + apartamento)</t>
  </si>
  <si>
    <t>Viajeros daneses entrados en los establecimientos alojativos de Arona 
(hotel + apartamento)</t>
  </si>
  <si>
    <t>Viajeros suecos entrados en los establecimientos alojativos de Arona 
(hotel + apartamento)</t>
  </si>
  <si>
    <t>var 23/22</t>
  </si>
  <si>
    <t>var 24/23</t>
  </si>
  <si>
    <t>Viajeros entrados en los establecimientos alojativos de Arona 
(hotel + apartamento)</t>
  </si>
  <si>
    <t>Viajeros entrados en los hoteles de Arona</t>
  </si>
  <si>
    <t>Viajeros entrados en los hoteles de 4, 5 estrellas Arona</t>
  </si>
  <si>
    <t>Viajeros entrados en los hoteles de 1, 2, 3 estrellas Arona</t>
  </si>
  <si>
    <t>Viajeros entrados en los apartamentos de Arona</t>
  </si>
  <si>
    <t>Evolución de viajeros entrados en los establecimientos alojativos de Arona 
(hotel + apartamento)</t>
  </si>
  <si>
    <t>Evolución de viajeros entrados en los hoteles de Arona</t>
  </si>
  <si>
    <t>Evolución de viajeros entrados en los hoteles de 4, 5 estrellas de Arona</t>
  </si>
  <si>
    <t>Evolución de viajeros entrados en los apartamentos de Arona</t>
  </si>
  <si>
    <t>acumulado a diciembre 2020</t>
  </si>
  <si>
    <t>diciembre 2020</t>
  </si>
  <si>
    <t>Viajeros entrados en los establecimientos alojativos de Arona según lugar de residencia (hotel + apartamento)</t>
  </si>
  <si>
    <t>acumulado diciembre 2020</t>
  </si>
  <si>
    <t>acumulado diciembre 2021</t>
  </si>
  <si>
    <t>acumulado diciembre 2022</t>
  </si>
  <si>
    <t>acumulado diciembre 2023</t>
  </si>
  <si>
    <t>acumulado diciembre 2024</t>
  </si>
  <si>
    <t>acumulado diciembre 2025</t>
  </si>
  <si>
    <t>Viajeros entrados en los hoteles de Arona según lugar de residencia (hotel + apartamento)</t>
  </si>
  <si>
    <t>Viajeros entrados en los apartamentos de Arona según lugar de residencia (hotel + apartamento)</t>
  </si>
  <si>
    <t>Viajeros alojados en los establecimientos alojativos de Arona según lugar de residencia (hotel + apartamento)</t>
  </si>
  <si>
    <t>acumulado diciembre 2019</t>
  </si>
  <si>
    <t>Evolución de viajeros alojados en los establecimientos alojativos de Arona 
(hotel + apartamento)</t>
  </si>
  <si>
    <t>Evolución de viajeros alojados en los hoteles de Arona</t>
  </si>
  <si>
    <t>Evolución de viajeros alojados en los hoteles de 4, 5 estrellas de Arona</t>
  </si>
  <si>
    <t>Evolución de viajeros alojados en los apartamentos de Arona</t>
  </si>
  <si>
    <t>Pernoctaciones realizadas por los turistas en los establecimientos alojativos de Arona (hotel + apartamento)</t>
  </si>
  <si>
    <t>Pernoctaciones realizadas por los turistas españoles en los establecimientos alojativos de Arona (hotel + apartamento)</t>
  </si>
  <si>
    <t>var 25/24</t>
  </si>
  <si>
    <t>Pernoctaciones realizadas por los procedentes de Península en los establecimientos alojativos de Arona (hotel + apartamento)</t>
  </si>
  <si>
    <t>Pernoctaciones realizadas por los procedentes de Canarias en los establecimientos alojativos de Arona (hotel + apartamento)</t>
  </si>
  <si>
    <t>Pernoctaciones realizadas por los procedentes de Total residentes en el extranjero en los establecimientos alojativos de Arona (hotel + apartamento)</t>
  </si>
  <si>
    <t>Pernoctaciones realizadas por los procedentes de Reino Unido en los establecimientos alojativos de Arona (hotel + apartamento)</t>
  </si>
  <si>
    <t>Pernoctaciones realizadas por los procedentes de Alemania en los establecimientos alojativos de Arona (hotel + apartamento)</t>
  </si>
  <si>
    <t>Pernoctaciones realizadas por los procedentes de Francia en los establecimientos alojativos de Arona (hotel + apartamento)</t>
  </si>
  <si>
    <t>Pernoctaciones realizadas por los procedentes de Bélgica en los establecimientos alojativos de Arona (hotel + apartamento)</t>
  </si>
  <si>
    <t>Pernoctaciones realizadas por los procedentes de Países Bajos en los establecimientos alojativos de Arona (hotel + apartamento)</t>
  </si>
  <si>
    <t>Pernoctaciones realizadas por los procedentes de Dinamarca en los establecimientos alojativos de Arona (hotel + apartamento)</t>
  </si>
  <si>
    <t>Pernoctaciones realizadas por los procedentes de Suecia en los establecimientos alojativos de Arona (hotel + apartamento)</t>
  </si>
  <si>
    <t>Pernoctaciones realizadas por los turistas en los hoteles de Arona</t>
  </si>
  <si>
    <t>Pernoctaciones realizadas por los turistas en los hoteles de 4 y 5 estrellas de Arona</t>
  </si>
  <si>
    <t>Pernoctaciones realizadas por los turistas en los hoteles de 1, 2, 3 estrellas de Arona</t>
  </si>
  <si>
    <t>Pernoctaciones realizadas por los turistas en los apartamentos de Arona</t>
  </si>
  <si>
    <t>-</t>
  </si>
  <si>
    <t>Estancia Media en los establecimientos alojativos de Arona
(hotel + apartamento)</t>
  </si>
  <si>
    <t>Estancia media de los viajeros españoles entrados en los establecimientos alojativos de Arona (hotel + apartamento)</t>
  </si>
  <si>
    <t>Estancia media de los viajeros peninsulares entrados en los establecimientos alojativos de Arona (hotel + apartamento)</t>
  </si>
  <si>
    <t>Estancia media de los viajeros canarios entrados en los establecimientos alojativos de Arona (hotel + apartamento)</t>
  </si>
  <si>
    <t>Estancia media de los viajeros extranjeros entrados en los establecimientos alojativos de Arona (hotel + apartamento)</t>
  </si>
  <si>
    <t>Estancia media de los viajeros británicos entrados en los establecimientos alojativos de Arona (hotel + apartamento)</t>
  </si>
  <si>
    <t>Estancia media de los viajeros alemanes entrados en los establecimientos alojativos de Arona (hotel + apartamento)</t>
  </si>
  <si>
    <t>Estancia media de los viajeros franceses entrados en los establecimientos alojativos de Arona (hotel + apartamento)</t>
  </si>
  <si>
    <t>Estancia media de los viajeros belgas entrados en los establecimientos alojativos de Arona (hotel + apartamento)</t>
  </si>
  <si>
    <t>Estancia media de los viajeros holandeses entrados en los establecimientos alojativos de Arona (hotel + apartamento)</t>
  </si>
  <si>
    <t>Estancia media de los viajeros daneses entrados en los establecimientos alojativos de Arona (hotel + apartamento)</t>
  </si>
  <si>
    <t>Estancia media de los viajeros suecos entrados en los establecimientos alojativos de Arona (hotel + apartamento)</t>
  </si>
  <si>
    <t>Estancia Media en los hoteles de Arona</t>
  </si>
  <si>
    <t>Estancia Media en los hoteles de 4, 5 estrellas de Arona</t>
  </si>
  <si>
    <t>Estancia Media en los hoteles de 1, 2, 3 Estrellas de Arona</t>
  </si>
  <si>
    <t>Estancia Media en los apartamentos de Arona</t>
  </si>
  <si>
    <t>Tasa de ocupación por plaza en los establecimientos alojativos de Arona
(hotel + apartamento)</t>
  </si>
  <si>
    <t>Tasa de ocupación por plaza en los hoteles de Arona</t>
  </si>
  <si>
    <t>Tasa de ocupación por plaza en los hoteles de 4, 5 Estrellas de Arona</t>
  </si>
  <si>
    <t>Tasa de ocupación por plaza en los hoteles de 1, 2, 3 Estrellas de Arona</t>
  </si>
  <si>
    <t>Tasa de ocupación por plaza en los apartamentos de Arona</t>
  </si>
  <si>
    <t>Distribución de viajeros españoles entrados en hoteles y apartamentos de Arona  por lugar de residencia</t>
  </si>
  <si>
    <t>Viajeros españoles entrados en los hoteles y apartamentos de Arona según lugar de residencia</t>
  </si>
  <si>
    <t>Viajeros españoles entrados en los hoteles y apartamentos de Arona por tipología y categoría de alojamiento</t>
  </si>
  <si>
    <t>Viajeros peninsulares entrados en los hoteles y apartamentos de Arona por tipología y categoría de alojamiento</t>
  </si>
  <si>
    <t>Viajeros canarios entrados en los hoteles y apartamentos de Arona por tipología y categoría de alojamiento</t>
  </si>
  <si>
    <t>Evolución de viajeros españoles entrados en los establecimientos alojativos de Arona
(hotel + apartamento)</t>
  </si>
  <si>
    <t>Evolución de viajeros peninsulares entrados en los establecimientos alojativos de Arona
(hotel + apartamento)</t>
  </si>
  <si>
    <t>Evolución de viajeros canarios entrados en los establecimientos alojativos de Arona
(hotel + apartamento)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</si>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</sst>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\ &quot;€&quot;"/>
    <numFmt numFmtId="166" formatCode="#,##0\ &quot;€&quot;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0"/>
      <name val="Arial"/>
      <family val="2"/>
    </font>
    <font>
      <b/>
      <sz val="12"/>
      <color theme="9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9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9F9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 style="medium">
        <color theme="0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0" tint="-0.14996795556505021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3"/>
      </top>
      <bottom style="thin">
        <color theme="1" tint="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ck">
        <color theme="0" tint="-0.14981536301767021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/>
      <top style="thick">
        <color theme="0" tint="-0.14981536301767021"/>
      </top>
      <bottom style="thick">
        <color theme="0" tint="-0.14981536301767021"/>
      </bottom>
      <diagonal/>
    </border>
    <border>
      <left/>
      <right style="thin">
        <color theme="0" tint="-0.14993743705557422"/>
      </right>
      <top style="thick">
        <color theme="0" tint="-0.14981536301767021"/>
      </top>
      <bottom style="thick">
        <color theme="0" tint="-0.14981536301767021"/>
      </bottom>
      <diagonal/>
    </border>
    <border>
      <left style="thin">
        <color theme="0" tint="-0.14993743705557422"/>
      </left>
      <right/>
      <top style="thick">
        <color theme="0" tint="-0.14981536301767021"/>
      </top>
      <bottom style="thick">
        <color theme="0" tint="-0.14981536301767021"/>
      </bottom>
      <diagonal/>
    </border>
    <border>
      <left style="thick">
        <color theme="0" tint="-0.1498458815271462"/>
      </left>
      <right style="medium">
        <color theme="0"/>
      </right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theme="0"/>
      </bottom>
      <diagonal/>
    </border>
    <border>
      <left style="thick">
        <color theme="0" tint="-0.14993743705557422"/>
      </left>
      <right style="medium">
        <color theme="0"/>
      </right>
      <top/>
      <bottom style="medium">
        <color theme="0"/>
      </bottom>
      <diagonal/>
    </border>
    <border>
      <left style="thick">
        <color theme="0" tint="-0.149845881527146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9"/>
      </bottom>
      <diagonal/>
    </border>
    <border>
      <left style="thick">
        <color theme="0" tint="-0.1498458815271462"/>
      </left>
      <right/>
      <top/>
      <bottom style="thin">
        <color theme="9"/>
      </bottom>
      <diagonal/>
    </border>
    <border>
      <left/>
      <right style="thin">
        <color theme="0" tint="-0.14996795556505021"/>
      </right>
      <top/>
      <bottom style="thin">
        <color theme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14996795556505021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dashed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/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/>
      <diagonal/>
    </border>
    <border>
      <left/>
      <right style="dashed">
        <color theme="0" tint="-0.34998626667073579"/>
      </right>
      <top style="thin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24994659260841701"/>
      </left>
      <right/>
      <top style="medium">
        <color theme="0"/>
      </top>
      <bottom/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1" fontId="21" fillId="0" borderId="0">
      <alignment vertical="center"/>
    </xf>
  </cellStyleXfs>
  <cellXfs count="3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1" xfId="0" applyFont="1" applyBorder="1"/>
    <xf numFmtId="0" fontId="9" fillId="0" borderId="0" xfId="2" applyFont="1" applyAlignment="1">
      <alignment horizontal="left" indent="3"/>
    </xf>
    <xf numFmtId="0" fontId="10" fillId="0" borderId="2" xfId="2" applyFont="1" applyFill="1" applyBorder="1" applyAlignment="1">
      <alignment horizontal="left" indent="1"/>
    </xf>
    <xf numFmtId="0" fontId="10" fillId="0" borderId="0" xfId="2" applyFont="1" applyFill="1" applyAlignment="1">
      <alignment horizontal="left" indent="1"/>
    </xf>
    <xf numFmtId="0" fontId="4" fillId="0" borderId="0" xfId="2" applyAlignment="1">
      <alignment horizontal="left" indent="3"/>
    </xf>
    <xf numFmtId="0" fontId="9" fillId="2" borderId="0" xfId="2" applyFont="1" applyFill="1" applyAlignment="1">
      <alignment horizontal="left" indent="3"/>
    </xf>
    <xf numFmtId="0" fontId="9" fillId="0" borderId="0" xfId="2" applyFont="1" applyAlignment="1">
      <alignment horizontal="left" wrapText="1" indent="3"/>
    </xf>
    <xf numFmtId="0" fontId="0" fillId="0" borderId="3" xfId="0" applyBorder="1"/>
    <xf numFmtId="17" fontId="7" fillId="3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4" borderId="7" xfId="0" applyFont="1" applyFill="1" applyBorder="1"/>
    <xf numFmtId="3" fontId="7" fillId="4" borderId="7" xfId="0" applyNumberFormat="1" applyFont="1" applyFill="1" applyBorder="1"/>
    <xf numFmtId="164" fontId="7" fillId="4" borderId="7" xfId="1" applyNumberFormat="1" applyFont="1" applyFill="1" applyBorder="1" applyAlignment="1">
      <alignment horizontal="right"/>
    </xf>
    <xf numFmtId="164" fontId="7" fillId="4" borderId="7" xfId="1" applyNumberFormat="1" applyFont="1" applyFill="1" applyBorder="1"/>
    <xf numFmtId="0" fontId="7" fillId="4" borderId="0" xfId="0" applyFont="1" applyFill="1"/>
    <xf numFmtId="3" fontId="7" fillId="4" borderId="0" xfId="0" applyNumberFormat="1" applyFont="1" applyFill="1"/>
    <xf numFmtId="164" fontId="7" fillId="4" borderId="0" xfId="1" applyNumberFormat="1" applyFont="1" applyFill="1" applyAlignment="1">
      <alignment horizontal="right"/>
    </xf>
    <xf numFmtId="164" fontId="7" fillId="4" borderId="0" xfId="1" applyNumberFormat="1" applyFont="1" applyFill="1"/>
    <xf numFmtId="0" fontId="7" fillId="4" borderId="9" xfId="0" applyFont="1" applyFill="1" applyBorder="1"/>
    <xf numFmtId="3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 applyAlignment="1">
      <alignment horizontal="right"/>
    </xf>
    <xf numFmtId="0" fontId="7" fillId="0" borderId="7" xfId="0" applyFont="1" applyBorder="1"/>
    <xf numFmtId="3" fontId="7" fillId="0" borderId="7" xfId="0" applyNumberFormat="1" applyFont="1" applyBorder="1"/>
    <xf numFmtId="164" fontId="7" fillId="0" borderId="7" xfId="1" applyNumberFormat="1" applyFont="1" applyBorder="1" applyAlignment="1">
      <alignment horizontal="right"/>
    </xf>
    <xf numFmtId="3" fontId="7" fillId="0" borderId="0" xfId="0" applyNumberFormat="1" applyFont="1"/>
    <xf numFmtId="164" fontId="7" fillId="0" borderId="0" xfId="1" applyNumberFormat="1" applyFont="1" applyAlignment="1">
      <alignment horizontal="right"/>
    </xf>
    <xf numFmtId="164" fontId="7" fillId="0" borderId="0" xfId="1" applyNumberFormat="1" applyFont="1"/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4" fontId="7" fillId="0" borderId="9" xfId="1" applyNumberFormat="1" applyFont="1" applyBorder="1" applyAlignment="1">
      <alignment horizontal="right"/>
    </xf>
    <xf numFmtId="2" fontId="7" fillId="0" borderId="7" xfId="0" applyNumberFormat="1" applyFont="1" applyBorder="1"/>
    <xf numFmtId="164" fontId="7" fillId="0" borderId="7" xfId="1" applyNumberFormat="1" applyFont="1" applyFill="1" applyBorder="1" applyAlignment="1">
      <alignment horizontal="right"/>
    </xf>
    <xf numFmtId="4" fontId="7" fillId="0" borderId="7" xfId="0" applyNumberFormat="1" applyFont="1" applyBorder="1"/>
    <xf numFmtId="164" fontId="7" fillId="0" borderId="7" xfId="1" applyNumberFormat="1" applyFont="1" applyFill="1" applyBorder="1"/>
    <xf numFmtId="2" fontId="7" fillId="0" borderId="0" xfId="0" applyNumberFormat="1" applyFont="1"/>
    <xf numFmtId="164" fontId="7" fillId="0" borderId="0" xfId="1" applyNumberFormat="1" applyFont="1" applyFill="1" applyAlignment="1">
      <alignment horizontal="right"/>
    </xf>
    <xf numFmtId="4" fontId="7" fillId="0" borderId="0" xfId="0" applyNumberFormat="1" applyFont="1"/>
    <xf numFmtId="164" fontId="7" fillId="0" borderId="0" xfId="1" applyNumberFormat="1" applyFont="1" applyFill="1"/>
    <xf numFmtId="2" fontId="7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4" fontId="7" fillId="4" borderId="7" xfId="0" applyNumberFormat="1" applyFont="1" applyFill="1" applyBorder="1"/>
    <xf numFmtId="4" fontId="7" fillId="4" borderId="0" xfId="0" applyNumberFormat="1" applyFont="1" applyFill="1"/>
    <xf numFmtId="4" fontId="7" fillId="4" borderId="9" xfId="0" applyNumberFormat="1" applyFont="1" applyFill="1" applyBorder="1" applyAlignment="1">
      <alignment horizontal="right"/>
    </xf>
    <xf numFmtId="164" fontId="7" fillId="4" borderId="9" xfId="1" applyNumberFormat="1" applyFont="1" applyFill="1" applyBorder="1"/>
    <xf numFmtId="0" fontId="0" fillId="0" borderId="11" xfId="0" applyBorder="1"/>
    <xf numFmtId="0" fontId="12" fillId="0" borderId="0" xfId="0" applyFont="1" applyAlignment="1">
      <alignment horizontal="left"/>
    </xf>
    <xf numFmtId="3" fontId="7" fillId="4" borderId="7" xfId="0" applyNumberFormat="1" applyFont="1" applyFill="1" applyBorder="1" applyAlignment="1">
      <alignment horizontal="right"/>
    </xf>
    <xf numFmtId="3" fontId="7" fillId="4" borderId="0" xfId="0" applyNumberFormat="1" applyFont="1" applyFill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9" xfId="1" applyNumberFormat="1" applyFont="1" applyFill="1" applyBorder="1"/>
    <xf numFmtId="0" fontId="2" fillId="0" borderId="0" xfId="0" applyFont="1"/>
    <xf numFmtId="164" fontId="13" fillId="4" borderId="7" xfId="1" applyNumberFormat="1" applyFont="1" applyFill="1" applyBorder="1" applyAlignment="1">
      <alignment horizontal="right"/>
    </xf>
    <xf numFmtId="164" fontId="13" fillId="4" borderId="0" xfId="1" applyNumberFormat="1" applyFont="1" applyFill="1" applyAlignment="1">
      <alignment horizontal="right"/>
    </xf>
    <xf numFmtId="164" fontId="13" fillId="4" borderId="9" xfId="1" applyNumberFormat="1" applyFont="1" applyFill="1" applyBorder="1" applyAlignment="1">
      <alignment horizontal="right"/>
    </xf>
    <xf numFmtId="0" fontId="14" fillId="0" borderId="0" xfId="0" applyFont="1"/>
    <xf numFmtId="164" fontId="7" fillId="0" borderId="9" xfId="1" applyNumberFormat="1" applyFont="1" applyFill="1" applyBorder="1" applyAlignment="1">
      <alignment horizontal="right"/>
    </xf>
    <xf numFmtId="0" fontId="8" fillId="0" borderId="3" xfId="0" applyFont="1" applyBorder="1" applyAlignment="1">
      <alignment vertical="center" readingOrder="1"/>
    </xf>
    <xf numFmtId="0" fontId="15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0" fontId="0" fillId="0" borderId="0" xfId="0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7" fillId="4" borderId="0" xfId="1" applyNumberFormat="1" applyFont="1" applyFill="1" applyBorder="1"/>
    <xf numFmtId="3" fontId="7" fillId="4" borderId="9" xfId="0" applyNumberFormat="1" applyFont="1" applyFill="1" applyBorder="1"/>
    <xf numFmtId="164" fontId="7" fillId="0" borderId="0" xfId="1" applyNumberFormat="1" applyFont="1" applyBorder="1" applyAlignment="1">
      <alignment horizontal="right"/>
    </xf>
    <xf numFmtId="3" fontId="7" fillId="0" borderId="9" xfId="0" applyNumberFormat="1" applyFont="1" applyBorder="1"/>
    <xf numFmtId="164" fontId="7" fillId="0" borderId="9" xfId="1" applyNumberFormat="1" applyFont="1" applyBorder="1"/>
    <xf numFmtId="4" fontId="7" fillId="2" borderId="7" xfId="0" applyNumberFormat="1" applyFont="1" applyFill="1" applyBorder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/>
    <xf numFmtId="2" fontId="7" fillId="0" borderId="9" xfId="0" applyNumberFormat="1" applyFont="1" applyBorder="1"/>
    <xf numFmtId="4" fontId="7" fillId="0" borderId="9" xfId="0" applyNumberFormat="1" applyFont="1" applyBorder="1"/>
    <xf numFmtId="4" fontId="7" fillId="4" borderId="9" xfId="0" applyNumberFormat="1" applyFont="1" applyFill="1" applyBorder="1"/>
    <xf numFmtId="164" fontId="0" fillId="0" borderId="0" xfId="1" applyNumberFormat="1" applyFont="1"/>
    <xf numFmtId="164" fontId="7" fillId="0" borderId="7" xfId="1" applyNumberFormat="1" applyFont="1" applyBorder="1"/>
    <xf numFmtId="164" fontId="7" fillId="0" borderId="0" xfId="1" applyNumberFormat="1" applyFont="1" applyBorder="1"/>
    <xf numFmtId="0" fontId="8" fillId="0" borderId="3" xfId="3" applyFont="1" applyBorder="1" applyAlignment="1">
      <alignment vertical="center" readingOrder="1"/>
    </xf>
    <xf numFmtId="0" fontId="8" fillId="0" borderId="0" xfId="0" applyFont="1" applyAlignment="1">
      <alignment horizontal="lef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0" fontId="1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/>
    </xf>
    <xf numFmtId="17" fontId="7" fillId="3" borderId="19" xfId="0" applyNumberFormat="1" applyFont="1" applyFill="1" applyBorder="1" applyAlignment="1">
      <alignment horizontal="right" vertical="center" wrapText="1"/>
    </xf>
    <xf numFmtId="0" fontId="17" fillId="2" borderId="20" xfId="0" applyFont="1" applyFill="1" applyBorder="1"/>
    <xf numFmtId="3" fontId="17" fillId="2" borderId="21" xfId="0" applyNumberFormat="1" applyFont="1" applyFill="1" applyBorder="1" applyAlignment="1">
      <alignment horizontal="right"/>
    </xf>
    <xf numFmtId="164" fontId="17" fillId="2" borderId="21" xfId="0" applyNumberFormat="1" applyFont="1" applyFill="1" applyBorder="1" applyAlignment="1">
      <alignment horizontal="right"/>
    </xf>
    <xf numFmtId="0" fontId="18" fillId="0" borderId="20" xfId="0" applyFont="1" applyBorder="1" applyAlignment="1">
      <alignment horizontal="left" indent="1"/>
    </xf>
    <xf numFmtId="3" fontId="18" fillId="0" borderId="20" xfId="0" applyNumberFormat="1" applyFont="1" applyBorder="1" applyAlignment="1">
      <alignment horizontal="right"/>
    </xf>
    <xf numFmtId="164" fontId="18" fillId="0" borderId="20" xfId="0" applyNumberFormat="1" applyFont="1" applyBorder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3" fontId="17" fillId="2" borderId="20" xfId="0" applyNumberFormat="1" applyFont="1" applyFill="1" applyBorder="1" applyAlignment="1">
      <alignment horizontal="right"/>
    </xf>
    <xf numFmtId="164" fontId="17" fillId="2" borderId="20" xfId="0" applyNumberFormat="1" applyFont="1" applyFill="1" applyBorder="1" applyAlignment="1">
      <alignment horizontal="right"/>
    </xf>
    <xf numFmtId="0" fontId="7" fillId="0" borderId="22" xfId="0" applyFont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164" fontId="7" fillId="0" borderId="22" xfId="0" applyNumberFormat="1" applyFont="1" applyBorder="1"/>
    <xf numFmtId="0" fontId="12" fillId="0" borderId="24" xfId="0" applyFont="1" applyBorder="1"/>
    <xf numFmtId="0" fontId="8" fillId="0" borderId="15" xfId="0" applyFont="1" applyBorder="1" applyAlignment="1">
      <alignment vertical="center" readingOrder="1"/>
    </xf>
    <xf numFmtId="3" fontId="8" fillId="0" borderId="15" xfId="0" applyNumberFormat="1" applyFont="1" applyBorder="1" applyAlignment="1">
      <alignment vertical="center" readingOrder="1"/>
    </xf>
    <xf numFmtId="0" fontId="19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3" fontId="15" fillId="3" borderId="2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3" fontId="7" fillId="0" borderId="32" xfId="0" applyNumberFormat="1" applyFont="1" applyBorder="1" applyAlignment="1">
      <alignment horizontal="right"/>
    </xf>
    <xf numFmtId="164" fontId="7" fillId="0" borderId="33" xfId="0" applyNumberFormat="1" applyFont="1" applyBorder="1" applyAlignment="1">
      <alignment horizontal="right"/>
    </xf>
    <xf numFmtId="0" fontId="22" fillId="0" borderId="34" xfId="4" applyNumberFormat="1" applyFont="1" applyBorder="1" applyAlignment="1" applyProtection="1">
      <alignment horizontal="center" vertical="center" wrapText="1"/>
      <protection hidden="1"/>
    </xf>
    <xf numFmtId="3" fontId="22" fillId="0" borderId="35" xfId="1" applyNumberFormat="1" applyFont="1" applyBorder="1" applyAlignment="1" applyProtection="1">
      <alignment vertical="center"/>
      <protection hidden="1"/>
    </xf>
    <xf numFmtId="164" fontId="22" fillId="0" borderId="36" xfId="4" applyNumberFormat="1" applyFont="1" applyBorder="1" applyAlignment="1" applyProtection="1">
      <alignment horizontal="right" vertical="center" wrapText="1"/>
      <protection hidden="1"/>
    </xf>
    <xf numFmtId="3" fontId="0" fillId="0" borderId="0" xfId="0" applyNumberFormat="1"/>
    <xf numFmtId="3" fontId="19" fillId="0" borderId="0" xfId="0" applyNumberFormat="1" applyFont="1" applyAlignment="1">
      <alignment vertical="center" readingOrder="1"/>
    </xf>
    <xf numFmtId="9" fontId="0" fillId="0" borderId="0" xfId="1" applyFont="1"/>
    <xf numFmtId="4" fontId="7" fillId="0" borderId="32" xfId="0" applyNumberFormat="1" applyFont="1" applyBorder="1" applyAlignment="1">
      <alignment horizontal="right"/>
    </xf>
    <xf numFmtId="164" fontId="12" fillId="0" borderId="24" xfId="1" applyNumberFormat="1" applyFont="1" applyBorder="1"/>
    <xf numFmtId="0" fontId="23" fillId="0" borderId="0" xfId="0" applyFont="1"/>
    <xf numFmtId="0" fontId="7" fillId="3" borderId="37" xfId="0" applyFont="1" applyFill="1" applyBorder="1" applyAlignment="1">
      <alignment horizontal="right" vertical="center" wrapText="1"/>
    </xf>
    <xf numFmtId="0" fontId="7" fillId="3" borderId="38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 wrapText="1"/>
    </xf>
    <xf numFmtId="0" fontId="22" fillId="2" borderId="0" xfId="0" applyFont="1" applyFill="1"/>
    <xf numFmtId="3" fontId="24" fillId="2" borderId="0" xfId="0" applyNumberFormat="1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164" fontId="24" fillId="2" borderId="39" xfId="0" applyNumberFormat="1" applyFont="1" applyFill="1" applyBorder="1" applyAlignment="1">
      <alignment horizontal="right"/>
    </xf>
    <xf numFmtId="0" fontId="24" fillId="0" borderId="40" xfId="0" applyFont="1" applyBorder="1" applyAlignment="1">
      <alignment horizontal="left" indent="1"/>
    </xf>
    <xf numFmtId="3" fontId="24" fillId="0" borderId="40" xfId="0" applyNumberFormat="1" applyFont="1" applyBorder="1" applyAlignment="1">
      <alignment horizontal="right"/>
    </xf>
    <xf numFmtId="164" fontId="24" fillId="0" borderId="40" xfId="0" applyNumberFormat="1" applyFont="1" applyBorder="1" applyAlignment="1">
      <alignment horizontal="right"/>
    </xf>
    <xf numFmtId="0" fontId="24" fillId="0" borderId="0" xfId="0" applyFont="1" applyAlignment="1">
      <alignment horizontal="left" indent="1"/>
    </xf>
    <xf numFmtId="3" fontId="24" fillId="0" borderId="0" xfId="0" applyNumberFormat="1" applyFont="1" applyAlignment="1">
      <alignment horizontal="right"/>
    </xf>
    <xf numFmtId="164" fontId="24" fillId="0" borderId="0" xfId="0" applyNumberFormat="1" applyFont="1" applyAlignment="1">
      <alignment horizontal="right"/>
    </xf>
    <xf numFmtId="164" fontId="3" fillId="0" borderId="0" xfId="1" applyNumberFormat="1" applyFont="1"/>
    <xf numFmtId="0" fontId="8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vertical="center" wrapText="1" readingOrder="1"/>
    </xf>
    <xf numFmtId="0" fontId="0" fillId="3" borderId="6" xfId="0" applyFill="1" applyBorder="1"/>
    <xf numFmtId="0" fontId="0" fillId="0" borderId="0" xfId="0" applyAlignment="1">
      <alignment wrapText="1"/>
    </xf>
    <xf numFmtId="0" fontId="25" fillId="3" borderId="10" xfId="0" applyFont="1" applyFill="1" applyBorder="1" applyAlignment="1">
      <alignment horizontal="center" vertical="center" wrapText="1"/>
    </xf>
    <xf numFmtId="1" fontId="7" fillId="3" borderId="43" xfId="0" applyNumberFormat="1" applyFont="1" applyFill="1" applyBorder="1" applyAlignment="1">
      <alignment horizontal="right" vertical="center" wrapText="1"/>
    </xf>
    <xf numFmtId="1" fontId="7" fillId="3" borderId="44" xfId="0" applyNumberFormat="1" applyFont="1" applyFill="1" applyBorder="1" applyAlignment="1">
      <alignment horizontal="right" vertical="center" wrapText="1"/>
    </xf>
    <xf numFmtId="164" fontId="7" fillId="3" borderId="45" xfId="0" applyNumberFormat="1" applyFont="1" applyFill="1" applyBorder="1" applyAlignment="1">
      <alignment horizontal="right" vertical="center" wrapText="1"/>
    </xf>
    <xf numFmtId="3" fontId="7" fillId="3" borderId="46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/>
    <xf numFmtId="3" fontId="17" fillId="2" borderId="7" xfId="0" applyNumberFormat="1" applyFont="1" applyFill="1" applyBorder="1" applyAlignment="1">
      <alignment horizontal="right"/>
    </xf>
    <xf numFmtId="16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0" borderId="8" xfId="0" applyFont="1" applyBorder="1"/>
    <xf numFmtId="3" fontId="17" fillId="0" borderId="47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0" fontId="18" fillId="0" borderId="8" xfId="0" applyFont="1" applyBorder="1"/>
    <xf numFmtId="3" fontId="18" fillId="0" borderId="47" xfId="0" applyNumberFormat="1" applyFont="1" applyBorder="1" applyAlignment="1">
      <alignment horizontal="right"/>
    </xf>
    <xf numFmtId="164" fontId="18" fillId="0" borderId="48" xfId="0" applyNumberFormat="1" applyFont="1" applyBorder="1" applyAlignment="1">
      <alignment horizontal="right"/>
    </xf>
    <xf numFmtId="0" fontId="3" fillId="0" borderId="8" xfId="0" applyFont="1" applyBorder="1"/>
    <xf numFmtId="0" fontId="7" fillId="0" borderId="8" xfId="0" applyFont="1" applyBorder="1"/>
    <xf numFmtId="3" fontId="7" fillId="0" borderId="47" xfId="0" applyNumberFormat="1" applyFont="1" applyBorder="1" applyAlignment="1">
      <alignment horizontal="right"/>
    </xf>
    <xf numFmtId="164" fontId="7" fillId="0" borderId="48" xfId="0" applyNumberFormat="1" applyFont="1" applyBorder="1" applyAlignment="1">
      <alignment horizontal="right"/>
    </xf>
    <xf numFmtId="164" fontId="2" fillId="0" borderId="0" xfId="1" applyNumberFormat="1" applyFont="1"/>
    <xf numFmtId="0" fontId="3" fillId="0" borderId="10" xfId="0" applyFont="1" applyBorder="1"/>
    <xf numFmtId="0" fontId="7" fillId="0" borderId="10" xfId="0" applyFont="1" applyBorder="1"/>
    <xf numFmtId="3" fontId="7" fillId="0" borderId="49" xfId="0" applyNumberFormat="1" applyFont="1" applyBorder="1" applyAlignment="1">
      <alignment horizontal="right"/>
    </xf>
    <xf numFmtId="164" fontId="7" fillId="0" borderId="50" xfId="0" applyNumberFormat="1" applyFont="1" applyBorder="1" applyAlignment="1">
      <alignment horizontal="right"/>
    </xf>
    <xf numFmtId="0" fontId="12" fillId="0" borderId="0" xfId="0" applyFont="1"/>
    <xf numFmtId="3" fontId="7" fillId="3" borderId="53" xfId="0" applyNumberFormat="1" applyFont="1" applyFill="1" applyBorder="1" applyAlignment="1">
      <alignment horizontal="right" vertical="center" wrapText="1"/>
    </xf>
    <xf numFmtId="164" fontId="7" fillId="3" borderId="54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Alignment="1">
      <alignment horizontal="right"/>
    </xf>
    <xf numFmtId="164" fontId="17" fillId="2" borderId="0" xfId="0" applyNumberFormat="1" applyFont="1" applyFill="1" applyAlignment="1">
      <alignment horizontal="right"/>
    </xf>
    <xf numFmtId="3" fontId="17" fillId="0" borderId="55" xfId="0" applyNumberFormat="1" applyFont="1" applyBorder="1" applyAlignment="1">
      <alignment horizontal="right"/>
    </xf>
    <xf numFmtId="164" fontId="17" fillId="0" borderId="56" xfId="0" applyNumberFormat="1" applyFont="1" applyBorder="1" applyAlignment="1">
      <alignment horizontal="right"/>
    </xf>
    <xf numFmtId="164" fontId="18" fillId="0" borderId="48" xfId="1" applyNumberFormat="1" applyFont="1" applyBorder="1" applyAlignment="1">
      <alignment horizontal="right"/>
    </xf>
    <xf numFmtId="164" fontId="7" fillId="0" borderId="48" xfId="1" applyNumberFormat="1" applyFont="1" applyBorder="1" applyAlignment="1">
      <alignment horizontal="right"/>
    </xf>
    <xf numFmtId="164" fontId="7" fillId="0" borderId="50" xfId="1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0" fillId="3" borderId="8" xfId="0" applyFill="1" applyBorder="1"/>
    <xf numFmtId="1" fontId="7" fillId="3" borderId="53" xfId="0" applyNumberFormat="1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2" fontId="22" fillId="0" borderId="35" xfId="1" applyNumberFormat="1" applyFont="1" applyBorder="1" applyAlignment="1" applyProtection="1">
      <alignment vertical="center"/>
      <protection hidden="1"/>
    </xf>
    <xf numFmtId="2" fontId="22" fillId="0" borderId="36" xfId="4" applyNumberFormat="1" applyFont="1" applyBorder="1" applyAlignment="1" applyProtection="1">
      <alignment horizontal="right" vertical="center" wrapText="1"/>
      <protection hidden="1"/>
    </xf>
    <xf numFmtId="2" fontId="8" fillId="0" borderId="15" xfId="0" applyNumberFormat="1" applyFont="1" applyBorder="1" applyAlignment="1">
      <alignment vertical="center" readingOrder="1"/>
    </xf>
    <xf numFmtId="2" fontId="0" fillId="0" borderId="0" xfId="0" applyNumberFormat="1"/>
    <xf numFmtId="2" fontId="12" fillId="0" borderId="24" xfId="0" applyNumberFormat="1" applyFont="1" applyBorder="1"/>
    <xf numFmtId="2" fontId="0" fillId="0" borderId="0" xfId="1" applyNumberFormat="1" applyFont="1"/>
    <xf numFmtId="0" fontId="26" fillId="0" borderId="0" xfId="0" applyFont="1"/>
    <xf numFmtId="164" fontId="7" fillId="0" borderId="32" xfId="1" applyNumberFormat="1" applyFont="1" applyBorder="1" applyAlignment="1">
      <alignment horizontal="right"/>
    </xf>
    <xf numFmtId="10" fontId="0" fillId="0" borderId="0" xfId="1" applyNumberFormat="1" applyFont="1"/>
    <xf numFmtId="164" fontId="22" fillId="0" borderId="35" xfId="1" applyNumberFormat="1" applyFont="1" applyBorder="1" applyAlignment="1" applyProtection="1">
      <alignment vertical="center"/>
      <protection hidden="1"/>
    </xf>
    <xf numFmtId="164" fontId="0" fillId="0" borderId="0" xfId="0" applyNumberFormat="1"/>
    <xf numFmtId="164" fontId="27" fillId="0" borderId="35" xfId="1" applyNumberFormat="1" applyFont="1" applyBorder="1" applyAlignment="1" applyProtection="1">
      <alignment vertical="center"/>
      <protection hidden="1"/>
    </xf>
    <xf numFmtId="164" fontId="27" fillId="0" borderId="36" xfId="4" applyNumberFormat="1" applyFont="1" applyBorder="1" applyAlignment="1" applyProtection="1">
      <alignment horizontal="right" vertical="center" wrapText="1"/>
      <protection hidden="1"/>
    </xf>
    <xf numFmtId="164" fontId="27" fillId="0" borderId="35" xfId="1" applyNumberFormat="1" applyFont="1" applyBorder="1" applyAlignment="1" applyProtection="1">
      <alignment horizontal="right" vertical="center"/>
      <protection hidden="1"/>
    </xf>
    <xf numFmtId="164" fontId="22" fillId="0" borderId="35" xfId="1" applyNumberFormat="1" applyFont="1" applyBorder="1" applyAlignment="1" applyProtection="1">
      <alignment horizontal="right" vertical="center"/>
      <protection hidden="1"/>
    </xf>
    <xf numFmtId="165" fontId="0" fillId="0" borderId="0" xfId="0" applyNumberFormat="1"/>
    <xf numFmtId="17" fontId="7" fillId="3" borderId="57" xfId="0" applyNumberFormat="1" applyFont="1" applyFill="1" applyBorder="1" applyAlignment="1">
      <alignment horizontal="right" vertical="center" wrapText="1"/>
    </xf>
    <xf numFmtId="17" fontId="7" fillId="3" borderId="58" xfId="0" applyNumberFormat="1" applyFont="1" applyFill="1" applyBorder="1" applyAlignment="1">
      <alignment horizontal="right" vertical="center" wrapText="1"/>
    </xf>
    <xf numFmtId="0" fontId="7" fillId="3" borderId="59" xfId="0" applyFont="1" applyFill="1" applyBorder="1" applyAlignment="1">
      <alignment horizontal="right" vertical="center" wrapText="1"/>
    </xf>
    <xf numFmtId="164" fontId="7" fillId="3" borderId="0" xfId="0" applyNumberFormat="1" applyFont="1" applyFill="1" applyAlignment="1">
      <alignment horizontal="right" vertical="center"/>
    </xf>
    <xf numFmtId="0" fontId="17" fillId="2" borderId="7" xfId="0" applyFont="1" applyFill="1" applyBorder="1"/>
    <xf numFmtId="165" fontId="24" fillId="2" borderId="60" xfId="1" applyNumberFormat="1" applyFont="1" applyFill="1" applyBorder="1" applyAlignment="1">
      <alignment horizontal="right"/>
    </xf>
    <xf numFmtId="165" fontId="24" fillId="2" borderId="0" xfId="0" applyNumberFormat="1" applyFont="1" applyFill="1" applyAlignment="1">
      <alignment horizontal="right"/>
    </xf>
    <xf numFmtId="165" fontId="24" fillId="2" borderId="0" xfId="1" applyNumberFormat="1" applyFont="1" applyFill="1" applyBorder="1" applyAlignment="1">
      <alignment horizontal="right"/>
    </xf>
    <xf numFmtId="165" fontId="24" fillId="2" borderId="39" xfId="1" applyNumberFormat="1" applyFont="1" applyFill="1" applyBorder="1" applyAlignment="1">
      <alignment horizontal="right"/>
    </xf>
    <xf numFmtId="3" fontId="24" fillId="2" borderId="60" xfId="0" applyNumberFormat="1" applyFont="1" applyFill="1" applyBorder="1" applyAlignment="1">
      <alignment horizontal="right"/>
    </xf>
    <xf numFmtId="166" fontId="24" fillId="2" borderId="60" xfId="1" applyNumberFormat="1" applyFont="1" applyFill="1" applyBorder="1" applyAlignment="1">
      <alignment horizontal="right"/>
    </xf>
    <xf numFmtId="166" fontId="24" fillId="2" borderId="39" xfId="1" applyNumberFormat="1" applyFont="1" applyFill="1" applyBorder="1" applyAlignment="1">
      <alignment horizontal="right"/>
    </xf>
    <xf numFmtId="165" fontId="7" fillId="0" borderId="13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166" fontId="7" fillId="0" borderId="13" xfId="1" applyNumberFormat="1" applyFont="1" applyBorder="1" applyAlignment="1">
      <alignment horizontal="right"/>
    </xf>
    <xf numFmtId="166" fontId="7" fillId="0" borderId="0" xfId="1" applyNumberFormat="1" applyFont="1" applyBorder="1" applyAlignment="1">
      <alignment horizontal="right"/>
    </xf>
    <xf numFmtId="164" fontId="7" fillId="0" borderId="0" xfId="0" applyNumberFormat="1" applyFont="1"/>
    <xf numFmtId="0" fontId="1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7" fillId="0" borderId="0" xfId="0" applyFont="1" applyAlignment="1">
      <alignment wrapText="1"/>
    </xf>
    <xf numFmtId="167" fontId="17" fillId="2" borderId="21" xfId="0" applyNumberFormat="1" applyFont="1" applyFill="1" applyBorder="1" applyAlignment="1">
      <alignment horizontal="right"/>
    </xf>
    <xf numFmtId="167" fontId="17" fillId="2" borderId="21" xfId="1" applyNumberFormat="1" applyFont="1" applyFill="1" applyBorder="1" applyAlignment="1">
      <alignment horizontal="right"/>
    </xf>
    <xf numFmtId="167" fontId="18" fillId="0" borderId="20" xfId="0" applyNumberFormat="1" applyFont="1" applyBorder="1" applyAlignment="1">
      <alignment horizontal="right"/>
    </xf>
    <xf numFmtId="167" fontId="18" fillId="0" borderId="20" xfId="1" applyNumberFormat="1" applyFont="1" applyBorder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167" fontId="17" fillId="2" borderId="20" xfId="0" applyNumberFormat="1" applyFont="1" applyFill="1" applyBorder="1" applyAlignment="1">
      <alignment horizontal="right"/>
    </xf>
    <xf numFmtId="167" fontId="17" fillId="2" borderId="2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0" fillId="4" borderId="11" xfId="0" applyFont="1" applyFill="1" applyBorder="1"/>
    <xf numFmtId="3" fontId="22" fillId="4" borderId="11" xfId="0" applyNumberFormat="1" applyFont="1" applyFill="1" applyBorder="1" applyAlignment="1">
      <alignment horizontal="right" vertical="center" wrapText="1"/>
    </xf>
    <xf numFmtId="164" fontId="22" fillId="4" borderId="11" xfId="1" applyNumberFormat="1" applyFont="1" applyFill="1" applyBorder="1" applyAlignment="1">
      <alignment horizontal="right" vertical="center" wrapText="1"/>
    </xf>
    <xf numFmtId="0" fontId="24" fillId="0" borderId="11" xfId="0" applyFont="1" applyBorder="1"/>
    <xf numFmtId="3" fontId="18" fillId="0" borderId="11" xfId="0" applyNumberFormat="1" applyFont="1" applyBorder="1" applyAlignment="1">
      <alignment horizontal="right" vertical="center" wrapText="1"/>
    </xf>
    <xf numFmtId="164" fontId="18" fillId="0" borderId="11" xfId="1" applyNumberFormat="1" applyFont="1" applyBorder="1" applyAlignment="1">
      <alignment horizontal="right" vertical="center" wrapText="1"/>
    </xf>
    <xf numFmtId="0" fontId="15" fillId="0" borderId="7" xfId="0" applyFont="1" applyBorder="1"/>
    <xf numFmtId="3" fontId="15" fillId="0" borderId="0" xfId="0" applyNumberFormat="1" applyFont="1"/>
    <xf numFmtId="164" fontId="15" fillId="4" borderId="7" xfId="1" applyNumberFormat="1" applyFont="1" applyFill="1" applyBorder="1"/>
    <xf numFmtId="3" fontId="15" fillId="4" borderId="7" xfId="0" applyNumberFormat="1" applyFont="1" applyFill="1" applyBorder="1"/>
    <xf numFmtId="164" fontId="15" fillId="0" borderId="7" xfId="1" applyNumberFormat="1" applyFont="1" applyBorder="1"/>
    <xf numFmtId="0" fontId="7" fillId="0" borderId="0" xfId="0" applyFont="1" applyAlignment="1">
      <alignment horizontal="left" indent="1"/>
    </xf>
    <xf numFmtId="0" fontId="7" fillId="0" borderId="61" xfId="0" applyFont="1" applyBorder="1"/>
    <xf numFmtId="3" fontId="22" fillId="4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vertical="center" wrapText="1"/>
    </xf>
    <xf numFmtId="0" fontId="15" fillId="0" borderId="0" xfId="0" applyFont="1"/>
    <xf numFmtId="3" fontId="15" fillId="4" borderId="0" xfId="0" applyNumberFormat="1" applyFont="1" applyFill="1"/>
    <xf numFmtId="3" fontId="7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3" fontId="22" fillId="4" borderId="62" xfId="0" applyNumberFormat="1" applyFont="1" applyFill="1" applyBorder="1" applyAlignment="1">
      <alignment horizontal="right" vertical="center" wrapText="1"/>
    </xf>
    <xf numFmtId="164" fontId="22" fillId="4" borderId="62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indent="1"/>
    </xf>
    <xf numFmtId="3" fontId="28" fillId="0" borderId="8" xfId="0" applyNumberFormat="1" applyFont="1" applyBorder="1"/>
    <xf numFmtId="164" fontId="28" fillId="0" borderId="8" xfId="1" applyNumberFormat="1" applyFont="1" applyBorder="1"/>
    <xf numFmtId="164" fontId="28" fillId="4" borderId="8" xfId="1" applyNumberFormat="1" applyFont="1" applyFill="1" applyBorder="1"/>
    <xf numFmtId="3" fontId="28" fillId="4" borderId="8" xfId="0" applyNumberFormat="1" applyFont="1" applyFill="1" applyBorder="1"/>
    <xf numFmtId="164" fontId="28" fillId="4" borderId="8" xfId="1" applyNumberFormat="1" applyFont="1" applyFill="1" applyBorder="1" applyAlignment="1">
      <alignment horizontal="right"/>
    </xf>
    <xf numFmtId="3" fontId="28" fillId="4" borderId="8" xfId="0" applyNumberFormat="1" applyFont="1" applyFill="1" applyBorder="1" applyAlignment="1">
      <alignment horizontal="right"/>
    </xf>
    <xf numFmtId="3" fontId="7" fillId="0" borderId="8" xfId="0" applyNumberFormat="1" applyFont="1" applyBorder="1"/>
    <xf numFmtId="164" fontId="15" fillId="0" borderId="8" xfId="1" applyNumberFormat="1" applyFont="1" applyBorder="1"/>
    <xf numFmtId="164" fontId="15" fillId="4" borderId="8" xfId="1" applyNumberFormat="1" applyFont="1" applyFill="1" applyBorder="1" applyAlignment="1">
      <alignment horizontal="right"/>
    </xf>
    <xf numFmtId="3" fontId="15" fillId="4" borderId="8" xfId="0" applyNumberFormat="1" applyFont="1" applyFill="1" applyBorder="1"/>
    <xf numFmtId="164" fontId="7" fillId="4" borderId="8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right"/>
    </xf>
    <xf numFmtId="164" fontId="7" fillId="0" borderId="8" xfId="1" applyNumberFormat="1" applyFont="1" applyBorder="1"/>
    <xf numFmtId="3" fontId="7" fillId="4" borderId="8" xfId="0" applyNumberFormat="1" applyFont="1" applyFill="1" applyBorder="1"/>
    <xf numFmtId="164" fontId="7" fillId="4" borderId="8" xfId="1" applyNumberFormat="1" applyFont="1" applyFill="1" applyBorder="1"/>
    <xf numFmtId="3" fontId="28" fillId="0" borderId="8" xfId="0" applyNumberFormat="1" applyFont="1" applyBorder="1" applyAlignment="1">
      <alignment horizontal="right"/>
    </xf>
    <xf numFmtId="164" fontId="28" fillId="0" borderId="8" xfId="1" applyNumberFormat="1" applyFont="1" applyBorder="1" applyAlignment="1">
      <alignment horizontal="right"/>
    </xf>
    <xf numFmtId="0" fontId="7" fillId="0" borderId="61" xfId="0" applyFont="1" applyBorder="1" applyAlignment="1">
      <alignment horizontal="right"/>
    </xf>
    <xf numFmtId="164" fontId="15" fillId="4" borderId="8" xfId="1" applyNumberFormat="1" applyFont="1" applyFill="1" applyBorder="1"/>
    <xf numFmtId="3" fontId="7" fillId="4" borderId="8" xfId="1" applyNumberFormat="1" applyFont="1" applyFill="1" applyBorder="1"/>
    <xf numFmtId="3" fontId="15" fillId="4" borderId="8" xfId="1" applyNumberFormat="1" applyFont="1" applyFill="1" applyBorder="1"/>
    <xf numFmtId="0" fontId="7" fillId="0" borderId="1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 wrapText="1" readingOrder="1"/>
    </xf>
    <xf numFmtId="0" fontId="11" fillId="4" borderId="8" xfId="0" applyFont="1" applyFill="1" applyBorder="1" applyAlignment="1">
      <alignment horizontal="center" vertical="center" textRotation="90"/>
    </xf>
    <xf numFmtId="0" fontId="11" fillId="4" borderId="10" xfId="0" applyFont="1" applyFill="1" applyBorder="1" applyAlignment="1">
      <alignment horizontal="center" vertical="center" textRotation="90"/>
    </xf>
    <xf numFmtId="0" fontId="7" fillId="4" borderId="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textRotation="90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7" fontId="7" fillId="3" borderId="0" xfId="0" applyNumberFormat="1" applyFont="1" applyFill="1" applyAlignment="1">
      <alignment horizontal="center" vertical="center" wrapText="1"/>
    </xf>
    <xf numFmtId="3" fontId="20" fillId="3" borderId="25" xfId="0" applyNumberFormat="1" applyFont="1" applyFill="1" applyBorder="1" applyAlignment="1">
      <alignment horizontal="center" vertical="center" readingOrder="1"/>
    </xf>
    <xf numFmtId="3" fontId="20" fillId="3" borderId="26" xfId="0" applyNumberFormat="1" applyFont="1" applyFill="1" applyBorder="1" applyAlignment="1">
      <alignment horizontal="center" vertical="center" readingOrder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9" fillId="3" borderId="51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2" fontId="20" fillId="3" borderId="25" xfId="0" applyNumberFormat="1" applyFont="1" applyFill="1" applyBorder="1" applyAlignment="1">
      <alignment horizontal="center" vertical="center" readingOrder="1"/>
    </xf>
    <xf numFmtId="2" fontId="20" fillId="3" borderId="26" xfId="0" applyNumberFormat="1" applyFont="1" applyFill="1" applyBorder="1" applyAlignment="1">
      <alignment horizontal="center" vertical="center" readingOrder="1"/>
    </xf>
    <xf numFmtId="0" fontId="0" fillId="0" borderId="0" xfId="0" applyAlignment="1">
      <alignment horizontal="center" wrapText="1"/>
    </xf>
    <xf numFmtId="0" fontId="12" fillId="0" borderId="24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2" fillId="0" borderId="63" xfId="0" applyFont="1" applyBorder="1" applyAlignment="1">
      <alignment horizontal="left" wrapText="1"/>
    </xf>
  </cellXfs>
  <cellStyles count="5">
    <cellStyle name="Hipervínculo" xfId="2" builtinId="8"/>
    <cellStyle name="Normal" xfId="0" builtinId="0"/>
    <cellStyle name="Normal 2 2" xfId="4" xr:uid="{11EA2F03-6CE0-47E2-A59E-B193E0BBA247}"/>
    <cellStyle name="Normal 2 6" xfId="3" xr:uid="{5621CA18-7BDD-4BF2-9998-674453026DEE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chartUserShapes" Target="../drawings/drawing3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3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2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11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5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59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60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chartUserShapes" Target="../drawings/drawing61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chartUserShapes" Target="../drawings/drawing62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chartUserShapes" Target="../drawings/drawing63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chartUserShapes" Target="../drawings/drawing64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chartUserShapes" Target="../drawings/drawing65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2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chartUserShapes" Target="../drawings/drawing66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33.xml"/><Relationship Id="rId1" Type="http://schemas.microsoft.com/office/2011/relationships/chartStyle" Target="style33.xml"/><Relationship Id="rId4" Type="http://schemas.openxmlformats.org/officeDocument/2006/relationships/chartUserShapes" Target="../drawings/drawing67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34.xml"/><Relationship Id="rId1" Type="http://schemas.microsoft.com/office/2011/relationships/chartStyle" Target="style34.xml"/><Relationship Id="rId4" Type="http://schemas.openxmlformats.org/officeDocument/2006/relationships/chartUserShapes" Target="../drawings/drawing68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35.xml"/><Relationship Id="rId1" Type="http://schemas.microsoft.com/office/2011/relationships/chartStyle" Target="style35.xml"/><Relationship Id="rId4" Type="http://schemas.openxmlformats.org/officeDocument/2006/relationships/chartUserShapes" Target="../drawings/drawing69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36.xml"/><Relationship Id="rId1" Type="http://schemas.microsoft.com/office/2011/relationships/chartStyle" Target="style36.xml"/><Relationship Id="rId4" Type="http://schemas.openxmlformats.org/officeDocument/2006/relationships/chartUserShapes" Target="../drawings/drawing70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37.xml"/><Relationship Id="rId1" Type="http://schemas.microsoft.com/office/2011/relationships/chartStyle" Target="style37.xml"/><Relationship Id="rId4" Type="http://schemas.openxmlformats.org/officeDocument/2006/relationships/chartUserShapes" Target="../drawings/drawing72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38.xml"/><Relationship Id="rId1" Type="http://schemas.microsoft.com/office/2011/relationships/chartStyle" Target="style38.xml"/><Relationship Id="rId4" Type="http://schemas.openxmlformats.org/officeDocument/2006/relationships/chartUserShapes" Target="../drawings/drawing73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39.xml"/><Relationship Id="rId1" Type="http://schemas.microsoft.com/office/2011/relationships/chartStyle" Target="style39.xml"/><Relationship Id="rId4" Type="http://schemas.openxmlformats.org/officeDocument/2006/relationships/chartUserShapes" Target="../drawings/drawing74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0.xml"/><Relationship Id="rId1" Type="http://schemas.microsoft.com/office/2011/relationships/chartStyle" Target="style40.xml"/><Relationship Id="rId4" Type="http://schemas.openxmlformats.org/officeDocument/2006/relationships/chartUserShapes" Target="../drawings/drawing75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1.xml"/><Relationship Id="rId1" Type="http://schemas.microsoft.com/office/2011/relationships/chartStyle" Target="style41.xml"/><Relationship Id="rId4" Type="http://schemas.openxmlformats.org/officeDocument/2006/relationships/chartUserShapes" Target="../drawings/drawing7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3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42.xml"/><Relationship Id="rId1" Type="http://schemas.microsoft.com/office/2011/relationships/chartStyle" Target="style42.xml"/><Relationship Id="rId4" Type="http://schemas.openxmlformats.org/officeDocument/2006/relationships/chartUserShapes" Target="../drawings/drawing82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43.xml"/><Relationship Id="rId1" Type="http://schemas.microsoft.com/office/2011/relationships/chartStyle" Target="style43.xml"/><Relationship Id="rId4" Type="http://schemas.openxmlformats.org/officeDocument/2006/relationships/chartUserShapes" Target="../drawings/drawing83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44.xml"/><Relationship Id="rId1" Type="http://schemas.microsoft.com/office/2011/relationships/chartStyle" Target="style44.xml"/><Relationship Id="rId4" Type="http://schemas.openxmlformats.org/officeDocument/2006/relationships/chartUserShapes" Target="../drawings/drawing84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85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46.xml"/><Relationship Id="rId1" Type="http://schemas.microsoft.com/office/2011/relationships/chartStyle" Target="style46.xml"/><Relationship Id="rId4" Type="http://schemas.openxmlformats.org/officeDocument/2006/relationships/chartUserShapes" Target="../drawings/drawing86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47.xml"/><Relationship Id="rId1" Type="http://schemas.microsoft.com/office/2011/relationships/chartStyle" Target="style47.xml"/><Relationship Id="rId4" Type="http://schemas.openxmlformats.org/officeDocument/2006/relationships/chartUserShapes" Target="../drawings/drawing87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48.xml"/><Relationship Id="rId1" Type="http://schemas.microsoft.com/office/2011/relationships/chartStyle" Target="style48.xml"/><Relationship Id="rId4" Type="http://schemas.openxmlformats.org/officeDocument/2006/relationships/chartUserShapes" Target="../drawings/drawing88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49.xml"/><Relationship Id="rId1" Type="http://schemas.microsoft.com/office/2011/relationships/chartStyle" Target="style49.xml"/><Relationship Id="rId4" Type="http://schemas.openxmlformats.org/officeDocument/2006/relationships/chartUserShapes" Target="../drawings/drawing89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0.xml"/><Relationship Id="rId1" Type="http://schemas.microsoft.com/office/2011/relationships/chartStyle" Target="style50.xml"/><Relationship Id="rId4" Type="http://schemas.openxmlformats.org/officeDocument/2006/relationships/chartUserShapes" Target="../drawings/drawing90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1.xml"/><Relationship Id="rId1" Type="http://schemas.microsoft.com/office/2011/relationships/chartStyle" Target="style51.xml"/><Relationship Id="rId4" Type="http://schemas.openxmlformats.org/officeDocument/2006/relationships/chartUserShapes" Target="../drawings/drawing9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4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52.xml"/><Relationship Id="rId1" Type="http://schemas.microsoft.com/office/2011/relationships/chartStyle" Target="style52.xml"/><Relationship Id="rId4" Type="http://schemas.openxmlformats.org/officeDocument/2006/relationships/chartUserShapes" Target="../drawings/drawing92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53.xml"/><Relationship Id="rId1" Type="http://schemas.microsoft.com/office/2011/relationships/chartStyle" Target="style53.xml"/><Relationship Id="rId4" Type="http://schemas.openxmlformats.org/officeDocument/2006/relationships/chartUserShapes" Target="../drawings/drawing93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54.xml"/><Relationship Id="rId1" Type="http://schemas.microsoft.com/office/2011/relationships/chartStyle" Target="style54.xml"/><Relationship Id="rId4" Type="http://schemas.openxmlformats.org/officeDocument/2006/relationships/chartUserShapes" Target="../drawings/drawing94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55.xml"/><Relationship Id="rId1" Type="http://schemas.microsoft.com/office/2011/relationships/chartStyle" Target="style55.xml"/><Relationship Id="rId4" Type="http://schemas.openxmlformats.org/officeDocument/2006/relationships/chartUserShapes" Target="../drawings/drawing96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56.xml"/><Relationship Id="rId1" Type="http://schemas.microsoft.com/office/2011/relationships/chartStyle" Target="style56.xml"/><Relationship Id="rId4" Type="http://schemas.openxmlformats.org/officeDocument/2006/relationships/chartUserShapes" Target="../drawings/drawing97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57.xml"/><Relationship Id="rId1" Type="http://schemas.microsoft.com/office/2011/relationships/chartStyle" Target="style57.xml"/><Relationship Id="rId4" Type="http://schemas.openxmlformats.org/officeDocument/2006/relationships/chartUserShapes" Target="../drawings/drawing98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58.xml"/><Relationship Id="rId1" Type="http://schemas.microsoft.com/office/2011/relationships/chartStyle" Target="style58.xml"/><Relationship Id="rId4" Type="http://schemas.openxmlformats.org/officeDocument/2006/relationships/chartUserShapes" Target="../drawings/drawing99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59.xml"/><Relationship Id="rId1" Type="http://schemas.microsoft.com/office/2011/relationships/chartStyle" Target="style59.xml"/><Relationship Id="rId4" Type="http://schemas.openxmlformats.org/officeDocument/2006/relationships/chartUserShapes" Target="../drawings/drawing100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60.xml"/><Relationship Id="rId1" Type="http://schemas.microsoft.com/office/2011/relationships/chartStyle" Target="style60.xml"/><Relationship Id="rId4" Type="http://schemas.openxmlformats.org/officeDocument/2006/relationships/chartUserShapes" Target="../drawings/drawing103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61.xml"/><Relationship Id="rId1" Type="http://schemas.microsoft.com/office/2011/relationships/chartStyle" Target="style61.xml"/><Relationship Id="rId4" Type="http://schemas.openxmlformats.org/officeDocument/2006/relationships/chartUserShapes" Target="../drawings/drawing10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5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62.xml"/><Relationship Id="rId1" Type="http://schemas.microsoft.com/office/2011/relationships/chartStyle" Target="style62.xml"/><Relationship Id="rId4" Type="http://schemas.openxmlformats.org/officeDocument/2006/relationships/chartUserShapes" Target="../drawings/drawing105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63.xml"/><Relationship Id="rId1" Type="http://schemas.microsoft.com/office/2011/relationships/chartStyle" Target="style63.xml"/><Relationship Id="rId4" Type="http://schemas.openxmlformats.org/officeDocument/2006/relationships/chartUserShapes" Target="../drawings/drawing106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64.xml"/><Relationship Id="rId1" Type="http://schemas.microsoft.com/office/2011/relationships/chartStyle" Target="style64.xml"/><Relationship Id="rId4" Type="http://schemas.openxmlformats.org/officeDocument/2006/relationships/chartUserShapes" Target="../drawings/drawing10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7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6.xml"/><Relationship Id="rId1" Type="http://schemas.openxmlformats.org/officeDocument/2006/relationships/themeOverride" Target="../theme/themeOverride73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4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8.xml"/><Relationship Id="rId1" Type="http://schemas.openxmlformats.org/officeDocument/2006/relationships/themeOverride" Target="../theme/themeOverride74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8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2.xml"/><Relationship Id="rId1" Type="http://schemas.openxmlformats.org/officeDocument/2006/relationships/themeOverride" Target="../theme/themeOverride75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3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6.xml"/><Relationship Id="rId1" Type="http://schemas.openxmlformats.org/officeDocument/2006/relationships/themeOverride" Target="../theme/themeOverride7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7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7.xml"/><Relationship Id="rId2" Type="http://schemas.microsoft.com/office/2011/relationships/chartColorStyle" Target="colors78.xml"/><Relationship Id="rId1" Type="http://schemas.microsoft.com/office/2011/relationships/chartStyle" Target="style78.xml"/><Relationship Id="rId4" Type="http://schemas.openxmlformats.org/officeDocument/2006/relationships/chartUserShapes" Target="../drawings/drawing139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79.xml"/><Relationship Id="rId1" Type="http://schemas.microsoft.com/office/2011/relationships/chartStyle" Target="style79.xml"/><Relationship Id="rId4" Type="http://schemas.openxmlformats.org/officeDocument/2006/relationships/chartUserShapes" Target="../drawings/drawing141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80.xml"/><Relationship Id="rId1" Type="http://schemas.microsoft.com/office/2011/relationships/chartStyle" Target="style80.xml"/><Relationship Id="rId4" Type="http://schemas.openxmlformats.org/officeDocument/2006/relationships/chartUserShapes" Target="../drawings/drawing14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F8-4132-9076-2E022651F21D}"/>
              </c:ext>
            </c:extLst>
          </c:dPt>
          <c:val>
            <c:numRef>
              <c:f>'Viajeros entr evol mensu TF'!$I$9:$I$21</c:f>
              <c:numCache>
                <c:formatCode>#,##0</c:formatCode>
                <c:ptCount val="13"/>
                <c:pt idx="0">
                  <c:v>102127</c:v>
                </c:pt>
                <c:pt idx="1">
                  <c:v>102173</c:v>
                </c:pt>
                <c:pt idx="2">
                  <c:v>114283</c:v>
                </c:pt>
                <c:pt idx="3">
                  <c:v>112901</c:v>
                </c:pt>
                <c:pt idx="4">
                  <c:v>96632</c:v>
                </c:pt>
                <c:pt idx="5">
                  <c:v>109784</c:v>
                </c:pt>
                <c:pt idx="6">
                  <c:v>113228</c:v>
                </c:pt>
                <c:pt idx="7">
                  <c:v>116797</c:v>
                </c:pt>
                <c:pt idx="8">
                  <c:v>107312</c:v>
                </c:pt>
                <c:pt idx="9">
                  <c:v>119521</c:v>
                </c:pt>
                <c:pt idx="10">
                  <c:v>113999</c:v>
                </c:pt>
                <c:pt idx="11">
                  <c:v>111619</c:v>
                </c:pt>
                <c:pt idx="12">
                  <c:v>1320376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F8-4132-9076-2E022651F21D}"/>
            </c:ext>
          </c:extLst>
        </c:ser>
        <c:ser>
          <c:idx val="0"/>
          <c:order val="2"/>
          <c:tx>
            <c:strRef>
              <c:f>'Viajeros entr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CF8-4132-9076-2E022651F21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TF'!$K$9:$K$21</c:f>
              <c:numCache>
                <c:formatCode>#,##0</c:formatCode>
                <c:ptCount val="13"/>
                <c:pt idx="0">
                  <c:v>102133</c:v>
                </c:pt>
                <c:pt idx="1">
                  <c:v>112246</c:v>
                </c:pt>
                <c:pt idx="2">
                  <c:v>122937</c:v>
                </c:pt>
                <c:pt idx="3">
                  <c:v>113542</c:v>
                </c:pt>
                <c:pt idx="4">
                  <c:v>110622</c:v>
                </c:pt>
                <c:pt idx="5">
                  <c:v>113390</c:v>
                </c:pt>
                <c:pt idx="6">
                  <c:v>121148</c:v>
                </c:pt>
                <c:pt idx="7">
                  <c:v>126181</c:v>
                </c:pt>
                <c:pt idx="8">
                  <c:v>111150</c:v>
                </c:pt>
                <c:pt idx="9">
                  <c:v>125080</c:v>
                </c:pt>
                <c:pt idx="10">
                  <c:v>113916</c:v>
                </c:pt>
                <c:pt idx="11">
                  <c:v>115450</c:v>
                </c:pt>
                <c:pt idx="12">
                  <c:v>1387795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CF8-4132-9076-2E022651F21D}"/>
            </c:ext>
          </c:extLst>
        </c:ser>
        <c:ser>
          <c:idx val="1"/>
          <c:order val="3"/>
          <c:tx>
            <c:strRef>
              <c:f>'Viajeros entr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CF8-4132-9076-2E022651F21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CF8-4132-9076-2E022651F21D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TF'!$M$9:$M$21</c:f>
              <c:numCache>
                <c:formatCode>#,##0</c:formatCode>
                <c:ptCount val="13"/>
                <c:pt idx="0">
                  <c:v>108758</c:v>
                </c:pt>
                <c:pt idx="1">
                  <c:v>115019</c:v>
                </c:pt>
                <c:pt idx="2">
                  <c:v>123198</c:v>
                </c:pt>
                <c:pt idx="3">
                  <c:v>115519</c:v>
                </c:pt>
                <c:pt idx="4">
                  <c:v>116586</c:v>
                </c:pt>
                <c:pt idx="5">
                  <c:v>117164</c:v>
                </c:pt>
                <c:pt idx="6">
                  <c:v>126014</c:v>
                </c:pt>
                <c:pt idx="7">
                  <c:v>123588</c:v>
                </c:pt>
                <c:pt idx="8">
                  <c:v>115871</c:v>
                </c:pt>
                <c:pt idx="9">
                  <c:v>130415</c:v>
                </c:pt>
                <c:pt idx="10">
                  <c:v>118687</c:v>
                </c:pt>
                <c:pt idx="11">
                  <c:v>110730</c:v>
                </c:pt>
                <c:pt idx="12">
                  <c:v>1421549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CF8-4132-9076-2E022651F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CF8-4132-9076-2E022651F21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102767</c:v>
                      </c:pt>
                      <c:pt idx="1">
                        <c:v>105310</c:v>
                      </c:pt>
                      <c:pt idx="2">
                        <c:v>41200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30803</c:v>
                      </c:pt>
                      <c:pt idx="8">
                        <c:v>18180</c:v>
                      </c:pt>
                      <c:pt idx="9">
                        <c:v>21674</c:v>
                      </c:pt>
                      <c:pt idx="10">
                        <c:v>16498</c:v>
                      </c:pt>
                      <c:pt idx="11">
                        <c:v>17398</c:v>
                      </c:pt>
                      <c:pt idx="12">
                        <c:v>375345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CF8-4132-9076-2E022651F21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CF8-4132-9076-2E022651F21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CF8-4132-9076-2E022651F21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CF8-4132-9076-2E022651F21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CF8-4132-9076-2E022651F21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CF8-4132-9076-2E022651F21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CF8-4132-9076-2E022651F21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CF8-4132-9076-2E022651F21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CF8-4132-9076-2E022651F21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CF8-4132-9076-2E022651F21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CF8-4132-9076-2E022651F21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CF8-4132-9076-2E022651F21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CF8-4132-9076-2E022651F21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CF8-4132-9076-2E022651F21D}"/>
              </c:ext>
            </c:extLst>
          </c:dPt>
          <c:cat>
            <c:strRef>
              <c:f>'Viajeros entr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TF'!$N$9:$N$21</c:f>
              <c:numCache>
                <c:formatCode>0.0%</c:formatCode>
                <c:ptCount val="13"/>
                <c:pt idx="0">
                  <c:v>6.4866399694516019E-2</c:v>
                </c:pt>
                <c:pt idx="1">
                  <c:v>2.4704666536001341E-2</c:v>
                </c:pt>
                <c:pt idx="2">
                  <c:v>2.1230386295418846E-3</c:v>
                </c:pt>
                <c:pt idx="3">
                  <c:v>1.7412058973771849E-2</c:v>
                </c:pt>
                <c:pt idx="4">
                  <c:v>5.3913326463090439E-2</c:v>
                </c:pt>
                <c:pt idx="5">
                  <c:v>3.3283358320839618E-2</c:v>
                </c:pt>
                <c:pt idx="6">
                  <c:v>4.0165747680523056E-2</c:v>
                </c:pt>
                <c:pt idx="7">
                  <c:v>-2.0549845063836836E-2</c:v>
                </c:pt>
                <c:pt idx="8">
                  <c:v>4.2474134053081425E-2</c:v>
                </c:pt>
                <c:pt idx="9">
                  <c:v>4.2652702270546961E-2</c:v>
                </c:pt>
                <c:pt idx="10">
                  <c:v>4.1881737420555565E-2</c:v>
                </c:pt>
                <c:pt idx="11">
                  <c:v>-4.0883499350368169E-2</c:v>
                </c:pt>
                <c:pt idx="12">
                  <c:v>2.4322036035581585E-2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CF8-4132-9076-2E022651F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1F9-43F9-AD86-CF8494CF422E}"/>
              </c:ext>
            </c:extLst>
          </c:dPt>
          <c:val>
            <c:numRef>
              <c:f>'Viajeros entr evol mensu TF'!$I$207:$I$219</c:f>
              <c:numCache>
                <c:formatCode>#,##0</c:formatCode>
                <c:ptCount val="13"/>
                <c:pt idx="0">
                  <c:v>4245</c:v>
                </c:pt>
                <c:pt idx="1">
                  <c:v>4506</c:v>
                </c:pt>
                <c:pt idx="2">
                  <c:v>3660</c:v>
                </c:pt>
                <c:pt idx="3">
                  <c:v>5451</c:v>
                </c:pt>
                <c:pt idx="4">
                  <c:v>3597</c:v>
                </c:pt>
                <c:pt idx="5">
                  <c:v>3985</c:v>
                </c:pt>
                <c:pt idx="6">
                  <c:v>4632</c:v>
                </c:pt>
                <c:pt idx="7">
                  <c:v>6242</c:v>
                </c:pt>
                <c:pt idx="8">
                  <c:v>5095</c:v>
                </c:pt>
                <c:pt idx="9">
                  <c:v>5150</c:v>
                </c:pt>
                <c:pt idx="10">
                  <c:v>4206</c:v>
                </c:pt>
                <c:pt idx="11">
                  <c:v>4705</c:v>
                </c:pt>
                <c:pt idx="12">
                  <c:v>55474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F9-43F9-AD86-CF8494CF422E}"/>
            </c:ext>
          </c:extLst>
        </c:ser>
        <c:ser>
          <c:idx val="0"/>
          <c:order val="2"/>
          <c:tx>
            <c:strRef>
              <c:f>'Viajeros entr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1F9-43F9-AD86-CF8494CF422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TF'!$K$207:$K$219</c:f>
              <c:numCache>
                <c:formatCode>#,##0</c:formatCode>
                <c:ptCount val="13"/>
                <c:pt idx="0">
                  <c:v>4309</c:v>
                </c:pt>
                <c:pt idx="1">
                  <c:v>4862</c:v>
                </c:pt>
                <c:pt idx="2">
                  <c:v>3687</c:v>
                </c:pt>
                <c:pt idx="3">
                  <c:v>5828</c:v>
                </c:pt>
                <c:pt idx="4">
                  <c:v>4917</c:v>
                </c:pt>
                <c:pt idx="5">
                  <c:v>3969</c:v>
                </c:pt>
                <c:pt idx="6">
                  <c:v>5583</c:v>
                </c:pt>
                <c:pt idx="7">
                  <c:v>5700</c:v>
                </c:pt>
                <c:pt idx="8">
                  <c:v>4458</c:v>
                </c:pt>
                <c:pt idx="9">
                  <c:v>5940</c:v>
                </c:pt>
                <c:pt idx="10">
                  <c:v>4195</c:v>
                </c:pt>
                <c:pt idx="11">
                  <c:v>4450</c:v>
                </c:pt>
                <c:pt idx="12">
                  <c:v>57898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F9-43F9-AD86-CF8494CF422E}"/>
            </c:ext>
          </c:extLst>
        </c:ser>
        <c:ser>
          <c:idx val="1"/>
          <c:order val="3"/>
          <c:tx>
            <c:strRef>
              <c:f>'Viajeros entr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1F9-43F9-AD86-CF8494CF422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1F9-43F9-AD86-CF8494CF422E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TF'!$M$207:$M$219</c:f>
              <c:numCache>
                <c:formatCode>#,##0</c:formatCode>
                <c:ptCount val="13"/>
                <c:pt idx="0">
                  <c:v>3827</c:v>
                </c:pt>
                <c:pt idx="1">
                  <c:v>4791</c:v>
                </c:pt>
                <c:pt idx="2">
                  <c:v>4448</c:v>
                </c:pt>
                <c:pt idx="3">
                  <c:v>4484</c:v>
                </c:pt>
                <c:pt idx="4">
                  <c:v>3588</c:v>
                </c:pt>
                <c:pt idx="5">
                  <c:v>3539</c:v>
                </c:pt>
                <c:pt idx="6">
                  <c:v>5587</c:v>
                </c:pt>
                <c:pt idx="7">
                  <c:v>5462</c:v>
                </c:pt>
                <c:pt idx="8">
                  <c:v>4443</c:v>
                </c:pt>
                <c:pt idx="9">
                  <c:v>4897</c:v>
                </c:pt>
                <c:pt idx="10">
                  <c:v>4508</c:v>
                </c:pt>
                <c:pt idx="11">
                  <c:v>3950</c:v>
                </c:pt>
                <c:pt idx="12">
                  <c:v>53524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F9-43F9-AD86-CF8494CF4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1F9-43F9-AD86-CF8494CF422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4476</c:v>
                      </c:pt>
                      <c:pt idx="1">
                        <c:v>4291</c:v>
                      </c:pt>
                      <c:pt idx="2">
                        <c:v>1680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1495</c:v>
                      </c:pt>
                      <c:pt idx="8">
                        <c:v>158</c:v>
                      </c:pt>
                      <c:pt idx="9">
                        <c:v>293</c:v>
                      </c:pt>
                      <c:pt idx="10">
                        <c:v>655</c:v>
                      </c:pt>
                      <c:pt idx="11">
                        <c:v>571</c:v>
                      </c:pt>
                      <c:pt idx="12">
                        <c:v>15410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1F9-43F9-AD86-CF8494CF422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1F9-43F9-AD86-CF8494CF422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1F9-43F9-AD86-CF8494CF422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1F9-43F9-AD86-CF8494CF422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1F9-43F9-AD86-CF8494CF422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1F9-43F9-AD86-CF8494CF422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1F9-43F9-AD86-CF8494CF422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1F9-43F9-AD86-CF8494CF422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1F9-43F9-AD86-CF8494CF422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1F9-43F9-AD86-CF8494CF422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1F9-43F9-AD86-CF8494CF422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1F9-43F9-AD86-CF8494CF422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1F9-43F9-AD86-CF8494CF422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1F9-43F9-AD86-CF8494CF422E}"/>
              </c:ext>
            </c:extLst>
          </c:dPt>
          <c:cat>
            <c:strRef>
              <c:f>'Viajeros entr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TF'!$N$207:$N$219</c:f>
              <c:numCache>
                <c:formatCode>0.0%</c:formatCode>
                <c:ptCount val="13"/>
                <c:pt idx="0">
                  <c:v>-0.11185889997679277</c:v>
                </c:pt>
                <c:pt idx="1">
                  <c:v>-1.4603044014808719E-2</c:v>
                </c:pt>
                <c:pt idx="2">
                  <c:v>0.20640086791429346</c:v>
                </c:pt>
                <c:pt idx="3">
                  <c:v>-0.23061084420041178</c:v>
                </c:pt>
                <c:pt idx="4">
                  <c:v>-0.27028676021964615</c:v>
                </c:pt>
                <c:pt idx="5">
                  <c:v>-0.10833963214915598</c:v>
                </c:pt>
                <c:pt idx="6">
                  <c:v>7.1646068422004383E-4</c:v>
                </c:pt>
                <c:pt idx="7">
                  <c:v>-4.1754385964912322E-2</c:v>
                </c:pt>
                <c:pt idx="8">
                  <c:v>-3.3647375504710642E-3</c:v>
                </c:pt>
                <c:pt idx="9">
                  <c:v>-0.17558922558922563</c:v>
                </c:pt>
                <c:pt idx="10">
                  <c:v>7.4612634088200291E-2</c:v>
                </c:pt>
                <c:pt idx="11">
                  <c:v>-0.11235955056179781</c:v>
                </c:pt>
                <c:pt idx="12">
                  <c:v>-7.5546651006943244E-2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1F9-43F9-AD86-CF8494CF4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02-4283-B92F-8E50FFA179A5}"/>
              </c:ext>
            </c:extLst>
          </c:dPt>
          <c:val>
            <c:numRef>
              <c:f>'Viajeros entr evol mensu TF'!$I$229:$I$241</c:f>
              <c:numCache>
                <c:formatCode>#,##0</c:formatCode>
                <c:ptCount val="13"/>
                <c:pt idx="0">
                  <c:v>4058</c:v>
                </c:pt>
                <c:pt idx="1">
                  <c:v>3219</c:v>
                </c:pt>
                <c:pt idx="2">
                  <c:v>2822</c:v>
                </c:pt>
                <c:pt idx="3">
                  <c:v>3844</c:v>
                </c:pt>
                <c:pt idx="4">
                  <c:v>3384</c:v>
                </c:pt>
                <c:pt idx="5">
                  <c:v>2974</c:v>
                </c:pt>
                <c:pt idx="6">
                  <c:v>4010</c:v>
                </c:pt>
                <c:pt idx="7">
                  <c:v>3806</c:v>
                </c:pt>
                <c:pt idx="8">
                  <c:v>3714</c:v>
                </c:pt>
                <c:pt idx="9">
                  <c:v>4250</c:v>
                </c:pt>
                <c:pt idx="10">
                  <c:v>3688</c:v>
                </c:pt>
                <c:pt idx="11">
                  <c:v>4414</c:v>
                </c:pt>
                <c:pt idx="12">
                  <c:v>44183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02-4283-B92F-8E50FFA179A5}"/>
            </c:ext>
          </c:extLst>
        </c:ser>
        <c:ser>
          <c:idx val="0"/>
          <c:order val="2"/>
          <c:tx>
            <c:strRef>
              <c:f>'Viajeros entr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F02-4283-B92F-8E50FFA179A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TF'!$K$229:$K$241</c:f>
              <c:numCache>
                <c:formatCode>#,##0</c:formatCode>
                <c:ptCount val="13"/>
                <c:pt idx="0">
                  <c:v>4254</c:v>
                </c:pt>
                <c:pt idx="1">
                  <c:v>3831</c:v>
                </c:pt>
                <c:pt idx="2">
                  <c:v>3770</c:v>
                </c:pt>
                <c:pt idx="3">
                  <c:v>4173</c:v>
                </c:pt>
                <c:pt idx="4">
                  <c:v>3296</c:v>
                </c:pt>
                <c:pt idx="5">
                  <c:v>2680</c:v>
                </c:pt>
                <c:pt idx="6">
                  <c:v>4277</c:v>
                </c:pt>
                <c:pt idx="7">
                  <c:v>3503</c:v>
                </c:pt>
                <c:pt idx="8">
                  <c:v>3091</c:v>
                </c:pt>
                <c:pt idx="9">
                  <c:v>3949</c:v>
                </c:pt>
                <c:pt idx="10">
                  <c:v>3573</c:v>
                </c:pt>
                <c:pt idx="11">
                  <c:v>4236</c:v>
                </c:pt>
                <c:pt idx="12">
                  <c:v>44633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02-4283-B92F-8E50FFA179A5}"/>
            </c:ext>
          </c:extLst>
        </c:ser>
        <c:ser>
          <c:idx val="1"/>
          <c:order val="3"/>
          <c:tx>
            <c:strRef>
              <c:f>'Viajeros entr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02-4283-B92F-8E50FFA179A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F02-4283-B92F-8E50FFA179A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TF'!$M$229:$M$241</c:f>
              <c:numCache>
                <c:formatCode>#,##0</c:formatCode>
                <c:ptCount val="13"/>
                <c:pt idx="0">
                  <c:v>3018</c:v>
                </c:pt>
                <c:pt idx="1">
                  <c:v>3089</c:v>
                </c:pt>
                <c:pt idx="2">
                  <c:v>3351</c:v>
                </c:pt>
                <c:pt idx="3">
                  <c:v>2803</c:v>
                </c:pt>
                <c:pt idx="4">
                  <c:v>3239</c:v>
                </c:pt>
                <c:pt idx="5">
                  <c:v>2876</c:v>
                </c:pt>
                <c:pt idx="6">
                  <c:v>3871</c:v>
                </c:pt>
                <c:pt idx="7">
                  <c:v>3638</c:v>
                </c:pt>
                <c:pt idx="8">
                  <c:v>3541</c:v>
                </c:pt>
                <c:pt idx="9">
                  <c:v>3943</c:v>
                </c:pt>
                <c:pt idx="10">
                  <c:v>4143</c:v>
                </c:pt>
                <c:pt idx="11">
                  <c:v>3677</c:v>
                </c:pt>
                <c:pt idx="12">
                  <c:v>41189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F02-4283-B92F-8E50FFA17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F02-4283-B92F-8E50FFA179A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4296</c:v>
                      </c:pt>
                      <c:pt idx="1">
                        <c:v>3387</c:v>
                      </c:pt>
                      <c:pt idx="2">
                        <c:v>1344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1493</c:v>
                      </c:pt>
                      <c:pt idx="8">
                        <c:v>2218</c:v>
                      </c:pt>
                      <c:pt idx="9">
                        <c:v>848</c:v>
                      </c:pt>
                      <c:pt idx="10">
                        <c:v>437</c:v>
                      </c:pt>
                      <c:pt idx="11">
                        <c:v>554</c:v>
                      </c:pt>
                      <c:pt idx="12">
                        <c:v>15534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F02-4283-B92F-8E50FFA179A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F02-4283-B92F-8E50FFA179A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F02-4283-B92F-8E50FFA179A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F02-4283-B92F-8E50FFA179A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F02-4283-B92F-8E50FFA179A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F02-4283-B92F-8E50FFA179A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F02-4283-B92F-8E50FFA179A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F02-4283-B92F-8E50FFA179A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F02-4283-B92F-8E50FFA179A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F02-4283-B92F-8E50FFA179A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F02-4283-B92F-8E50FFA179A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F02-4283-B92F-8E50FFA179A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F02-4283-B92F-8E50FFA179A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F02-4283-B92F-8E50FFA179A5}"/>
              </c:ext>
            </c:extLst>
          </c:dPt>
          <c:cat>
            <c:strRef>
              <c:f>'Viajeros entr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TF'!$N$229:$N$241</c:f>
              <c:numCache>
                <c:formatCode>0.0%</c:formatCode>
                <c:ptCount val="13"/>
                <c:pt idx="0">
                  <c:v>-0.29055007052186177</c:v>
                </c:pt>
                <c:pt idx="1">
                  <c:v>-0.19368311145914907</c:v>
                </c:pt>
                <c:pt idx="2">
                  <c:v>-0.11114058355437662</c:v>
                </c:pt>
                <c:pt idx="3">
                  <c:v>-0.32830098250659001</c:v>
                </c:pt>
                <c:pt idx="4">
                  <c:v>-1.7293689320388328E-2</c:v>
                </c:pt>
                <c:pt idx="5">
                  <c:v>7.3134328358208878E-2</c:v>
                </c:pt>
                <c:pt idx="6">
                  <c:v>-9.4926350245499225E-2</c:v>
                </c:pt>
                <c:pt idx="7">
                  <c:v>3.8538395660862035E-2</c:v>
                </c:pt>
                <c:pt idx="8">
                  <c:v>0.1455839534131349</c:v>
                </c:pt>
                <c:pt idx="9">
                  <c:v>-1.519371992909635E-3</c:v>
                </c:pt>
                <c:pt idx="10">
                  <c:v>0.15952980688497065</c:v>
                </c:pt>
                <c:pt idx="11">
                  <c:v>-0.13196411709159583</c:v>
                </c:pt>
                <c:pt idx="12">
                  <c:v>-7.7162637510362342E-2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F02-4283-B92F-8E50FFA17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C7-4A8A-94AC-9E7CE32258FB}"/>
              </c:ext>
            </c:extLst>
          </c:dPt>
          <c:val>
            <c:numRef>
              <c:f>'Viajeros entr evol mensu TF'!$I$251:$I$263</c:f>
              <c:numCache>
                <c:formatCode>#,##0</c:formatCode>
                <c:ptCount val="13"/>
                <c:pt idx="0">
                  <c:v>3804</c:v>
                </c:pt>
                <c:pt idx="1">
                  <c:v>4227</c:v>
                </c:pt>
                <c:pt idx="2">
                  <c:v>3538</c:v>
                </c:pt>
                <c:pt idx="3">
                  <c:v>2016</c:v>
                </c:pt>
                <c:pt idx="4">
                  <c:v>333</c:v>
                </c:pt>
                <c:pt idx="5">
                  <c:v>529</c:v>
                </c:pt>
                <c:pt idx="6">
                  <c:v>490</c:v>
                </c:pt>
                <c:pt idx="7">
                  <c:v>378</c:v>
                </c:pt>
                <c:pt idx="8">
                  <c:v>422</c:v>
                </c:pt>
                <c:pt idx="9">
                  <c:v>2081</c:v>
                </c:pt>
                <c:pt idx="10">
                  <c:v>2807</c:v>
                </c:pt>
                <c:pt idx="11">
                  <c:v>2879</c:v>
                </c:pt>
                <c:pt idx="12">
                  <c:v>23504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C7-4A8A-94AC-9E7CE32258FB}"/>
            </c:ext>
          </c:extLst>
        </c:ser>
        <c:ser>
          <c:idx val="0"/>
          <c:order val="2"/>
          <c:tx>
            <c:strRef>
              <c:f>'Viajeros entr evol mensu TF'!$K$249:$L$249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5C7-4A8A-94AC-9E7CE32258F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TF'!$K$251:$K$263</c:f>
              <c:numCache>
                <c:formatCode>#,##0</c:formatCode>
                <c:ptCount val="13"/>
                <c:pt idx="0">
                  <c:v>3499</c:v>
                </c:pt>
                <c:pt idx="1">
                  <c:v>3701</c:v>
                </c:pt>
                <c:pt idx="2">
                  <c:v>3652</c:v>
                </c:pt>
                <c:pt idx="3">
                  <c:v>1220</c:v>
                </c:pt>
                <c:pt idx="4">
                  <c:v>530</c:v>
                </c:pt>
                <c:pt idx="5">
                  <c:v>371</c:v>
                </c:pt>
                <c:pt idx="6">
                  <c:v>639</c:v>
                </c:pt>
                <c:pt idx="7">
                  <c:v>367</c:v>
                </c:pt>
                <c:pt idx="8">
                  <c:v>439</c:v>
                </c:pt>
                <c:pt idx="9">
                  <c:v>1650</c:v>
                </c:pt>
                <c:pt idx="10">
                  <c:v>3087</c:v>
                </c:pt>
                <c:pt idx="11">
                  <c:v>3064</c:v>
                </c:pt>
                <c:pt idx="12">
                  <c:v>22219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5C7-4A8A-94AC-9E7CE32258FB}"/>
            </c:ext>
          </c:extLst>
        </c:ser>
        <c:ser>
          <c:idx val="1"/>
          <c:order val="3"/>
          <c:tx>
            <c:strRef>
              <c:f>'Viajeros entr evol mensu TF'!$M$249:$N$249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5C7-4A8A-94AC-9E7CE32258F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5C7-4A8A-94AC-9E7CE32258FB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TF'!$M$251:$M$263</c:f>
              <c:numCache>
                <c:formatCode>#,##0</c:formatCode>
                <c:ptCount val="13"/>
                <c:pt idx="0">
                  <c:v>3174</c:v>
                </c:pt>
                <c:pt idx="1">
                  <c:v>3548</c:v>
                </c:pt>
                <c:pt idx="2">
                  <c:v>3801</c:v>
                </c:pt>
                <c:pt idx="3">
                  <c:v>2096</c:v>
                </c:pt>
                <c:pt idx="4">
                  <c:v>415</c:v>
                </c:pt>
                <c:pt idx="5">
                  <c:v>365</c:v>
                </c:pt>
                <c:pt idx="6">
                  <c:v>629</c:v>
                </c:pt>
                <c:pt idx="7">
                  <c:v>387</c:v>
                </c:pt>
                <c:pt idx="8">
                  <c:v>495</c:v>
                </c:pt>
                <c:pt idx="9">
                  <c:v>1715</c:v>
                </c:pt>
                <c:pt idx="10">
                  <c:v>3354</c:v>
                </c:pt>
                <c:pt idx="11">
                  <c:v>2502</c:v>
                </c:pt>
                <c:pt idx="12">
                  <c:v>22481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5C7-4A8A-94AC-9E7CE3225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5C7-4A8A-94AC-9E7CE32258F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TF'!$C$251:$C$263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3686</c:v>
                      </c:pt>
                      <c:pt idx="1">
                        <c:v>4220</c:v>
                      </c:pt>
                      <c:pt idx="2">
                        <c:v>1681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</c:v>
                      </c:pt>
                      <c:pt idx="8">
                        <c:v>8</c:v>
                      </c:pt>
                      <c:pt idx="9">
                        <c:v>34</c:v>
                      </c:pt>
                      <c:pt idx="10">
                        <c:v>37</c:v>
                      </c:pt>
                      <c:pt idx="11">
                        <c:v>39</c:v>
                      </c:pt>
                      <c:pt idx="12">
                        <c:v>9750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5C7-4A8A-94AC-9E7CE32258F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TF'!$N$250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5C7-4A8A-94AC-9E7CE32258F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5C7-4A8A-94AC-9E7CE32258F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5C7-4A8A-94AC-9E7CE32258F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5C7-4A8A-94AC-9E7CE32258F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5C7-4A8A-94AC-9E7CE32258F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5C7-4A8A-94AC-9E7CE32258F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5C7-4A8A-94AC-9E7CE32258F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5C7-4A8A-94AC-9E7CE32258F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5C7-4A8A-94AC-9E7CE32258F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5C7-4A8A-94AC-9E7CE32258F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5C7-4A8A-94AC-9E7CE32258F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5C7-4A8A-94AC-9E7CE32258F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5C7-4A8A-94AC-9E7CE32258FB}"/>
              </c:ext>
            </c:extLst>
          </c:dPt>
          <c:cat>
            <c:strRef>
              <c:f>'Viajeros entr evol mensu TF'!$B$251:$B$262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TF'!$N$251:$N$263</c:f>
              <c:numCache>
                <c:formatCode>0.0%</c:formatCode>
                <c:ptCount val="13"/>
                <c:pt idx="0">
                  <c:v>-9.2883681051729061E-2</c:v>
                </c:pt>
                <c:pt idx="1">
                  <c:v>-4.1340178330180999E-2</c:v>
                </c:pt>
                <c:pt idx="2">
                  <c:v>4.0799561883899216E-2</c:v>
                </c:pt>
                <c:pt idx="3">
                  <c:v>0.71803278688524586</c:v>
                </c:pt>
                <c:pt idx="4">
                  <c:v>-0.21698113207547165</c:v>
                </c:pt>
                <c:pt idx="5">
                  <c:v>-1.6172506738544423E-2</c:v>
                </c:pt>
                <c:pt idx="6">
                  <c:v>-1.5649452269170583E-2</c:v>
                </c:pt>
                <c:pt idx="7">
                  <c:v>5.4495912806539426E-2</c:v>
                </c:pt>
                <c:pt idx="8">
                  <c:v>0.1275626423690206</c:v>
                </c:pt>
                <c:pt idx="9">
                  <c:v>3.9393939393939315E-2</c:v>
                </c:pt>
                <c:pt idx="10">
                  <c:v>8.6491739552964075E-2</c:v>
                </c:pt>
                <c:pt idx="11">
                  <c:v>-0.18342036553524799</c:v>
                </c:pt>
                <c:pt idx="12">
                  <c:v>1.1791709797920769E-2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5C7-4A8A-94AC-9E7CE3225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4B-4E9B-82CD-8128419873E1}"/>
              </c:ext>
            </c:extLst>
          </c:dPt>
          <c:val>
            <c:numRef>
              <c:f>'Viajeros entr evol mensu TF'!$I$273:$I$285</c:f>
              <c:numCache>
                <c:formatCode>#,##0</c:formatCode>
                <c:ptCount val="13"/>
                <c:pt idx="0">
                  <c:v>4420</c:v>
                </c:pt>
                <c:pt idx="1">
                  <c:v>3815</c:v>
                </c:pt>
                <c:pt idx="2">
                  <c:v>3435</c:v>
                </c:pt>
                <c:pt idx="3">
                  <c:v>2079</c:v>
                </c:pt>
                <c:pt idx="4">
                  <c:v>214</c:v>
                </c:pt>
                <c:pt idx="5">
                  <c:v>259</c:v>
                </c:pt>
                <c:pt idx="6">
                  <c:v>231</c:v>
                </c:pt>
                <c:pt idx="7">
                  <c:v>305</c:v>
                </c:pt>
                <c:pt idx="8">
                  <c:v>349</c:v>
                </c:pt>
                <c:pt idx="9">
                  <c:v>2548</c:v>
                </c:pt>
                <c:pt idx="10">
                  <c:v>4291</c:v>
                </c:pt>
                <c:pt idx="11">
                  <c:v>4580</c:v>
                </c:pt>
                <c:pt idx="12">
                  <c:v>26526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4B-4E9B-82CD-8128419873E1}"/>
            </c:ext>
          </c:extLst>
        </c:ser>
        <c:ser>
          <c:idx val="0"/>
          <c:order val="2"/>
          <c:tx>
            <c:strRef>
              <c:f>'Viajeros entr evol mensu TF'!$K$271:$L$271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74B-4E9B-82CD-8128419873E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TF'!$K$273:$K$285</c:f>
              <c:numCache>
                <c:formatCode>#,##0</c:formatCode>
                <c:ptCount val="13"/>
                <c:pt idx="0">
                  <c:v>4823</c:v>
                </c:pt>
                <c:pt idx="1">
                  <c:v>4132</c:v>
                </c:pt>
                <c:pt idx="2">
                  <c:v>4396</c:v>
                </c:pt>
                <c:pt idx="3">
                  <c:v>1201</c:v>
                </c:pt>
                <c:pt idx="4">
                  <c:v>105</c:v>
                </c:pt>
                <c:pt idx="5">
                  <c:v>120</c:v>
                </c:pt>
                <c:pt idx="6">
                  <c:v>114</c:v>
                </c:pt>
                <c:pt idx="7">
                  <c:v>52</c:v>
                </c:pt>
                <c:pt idx="8">
                  <c:v>104</c:v>
                </c:pt>
                <c:pt idx="9">
                  <c:v>2132</c:v>
                </c:pt>
                <c:pt idx="10">
                  <c:v>3388</c:v>
                </c:pt>
                <c:pt idx="11">
                  <c:v>4168</c:v>
                </c:pt>
                <c:pt idx="12">
                  <c:v>24735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4B-4E9B-82CD-8128419873E1}"/>
            </c:ext>
          </c:extLst>
        </c:ser>
        <c:ser>
          <c:idx val="1"/>
          <c:order val="3"/>
          <c:tx>
            <c:strRef>
              <c:f>'Viajeros entr evol mensu TF'!$M$271:$N$271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4B-4E9B-82CD-8128419873E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74B-4E9B-82CD-8128419873E1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TF'!$M$273:$M$285</c:f>
              <c:numCache>
                <c:formatCode>#,##0</c:formatCode>
                <c:ptCount val="13"/>
                <c:pt idx="0">
                  <c:v>3438</c:v>
                </c:pt>
                <c:pt idx="1">
                  <c:v>3336</c:v>
                </c:pt>
                <c:pt idx="2">
                  <c:v>3137</c:v>
                </c:pt>
                <c:pt idx="3">
                  <c:v>1353</c:v>
                </c:pt>
                <c:pt idx="4">
                  <c:v>129</c:v>
                </c:pt>
                <c:pt idx="5">
                  <c:v>129</c:v>
                </c:pt>
                <c:pt idx="6">
                  <c:v>106</c:v>
                </c:pt>
                <c:pt idx="7">
                  <c:v>88</c:v>
                </c:pt>
                <c:pt idx="8">
                  <c:v>144</c:v>
                </c:pt>
                <c:pt idx="9">
                  <c:v>1810</c:v>
                </c:pt>
                <c:pt idx="10">
                  <c:v>3248</c:v>
                </c:pt>
                <c:pt idx="11">
                  <c:v>3370</c:v>
                </c:pt>
                <c:pt idx="12">
                  <c:v>20288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74B-4E9B-82CD-812841987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74B-4E9B-82CD-8128419873E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TF'!$C$273:$C$285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6518</c:v>
                      </c:pt>
                      <c:pt idx="1">
                        <c:v>6567</c:v>
                      </c:pt>
                      <c:pt idx="2">
                        <c:v>2282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22</c:v>
                      </c:pt>
                      <c:pt idx="8">
                        <c:v>27</c:v>
                      </c:pt>
                      <c:pt idx="9">
                        <c:v>360</c:v>
                      </c:pt>
                      <c:pt idx="10">
                        <c:v>536</c:v>
                      </c:pt>
                      <c:pt idx="11">
                        <c:v>406</c:v>
                      </c:pt>
                      <c:pt idx="12">
                        <c:v>16737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74B-4E9B-82CD-8128419873E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TF'!$N$272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74B-4E9B-82CD-8128419873E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74B-4E9B-82CD-8128419873E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74B-4E9B-82CD-8128419873E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74B-4E9B-82CD-8128419873E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74B-4E9B-82CD-8128419873E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74B-4E9B-82CD-8128419873E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74B-4E9B-82CD-8128419873E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74B-4E9B-82CD-8128419873E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74B-4E9B-82CD-8128419873E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74B-4E9B-82CD-8128419873E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74B-4E9B-82CD-8128419873E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74B-4E9B-82CD-8128419873E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74B-4E9B-82CD-8128419873E1}"/>
              </c:ext>
            </c:extLst>
          </c:dPt>
          <c:cat>
            <c:strRef>
              <c:f>'Viajeros entr evol mensu TF'!$B$273:$B$284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TF'!$N$273:$N$285</c:f>
              <c:numCache>
                <c:formatCode>0.0%</c:formatCode>
                <c:ptCount val="13"/>
                <c:pt idx="0">
                  <c:v>-0.28716566452415504</c:v>
                </c:pt>
                <c:pt idx="1">
                  <c:v>-0.19264278799612777</c:v>
                </c:pt>
                <c:pt idx="2">
                  <c:v>-0.28639672429481344</c:v>
                </c:pt>
                <c:pt idx="3">
                  <c:v>0.12656119900083262</c:v>
                </c:pt>
                <c:pt idx="4">
                  <c:v>0.22857142857142865</c:v>
                </c:pt>
                <c:pt idx="5">
                  <c:v>7.4999999999999956E-2</c:v>
                </c:pt>
                <c:pt idx="6">
                  <c:v>-7.0175438596491224E-2</c:v>
                </c:pt>
                <c:pt idx="7">
                  <c:v>0.69230769230769229</c:v>
                </c:pt>
                <c:pt idx="8">
                  <c:v>0.38461538461538458</c:v>
                </c:pt>
                <c:pt idx="9">
                  <c:v>-0.151031894934334</c:v>
                </c:pt>
                <c:pt idx="10">
                  <c:v>-4.132231404958675E-2</c:v>
                </c:pt>
                <c:pt idx="11">
                  <c:v>-0.19145873320537432</c:v>
                </c:pt>
                <c:pt idx="12">
                  <c:v>-0.17978572872447951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74B-4E9B-82CD-812841987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7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17-4212-A151-92394641FA0E}"/>
              </c:ext>
            </c:extLst>
          </c:dPt>
          <c:val>
            <c:numRef>
              <c:f>'Viajeros entr evol mensu TF cat'!$I$9:$I$21</c:f>
              <c:numCache>
                <c:formatCode>#,##0</c:formatCode>
                <c:ptCount val="13"/>
                <c:pt idx="0">
                  <c:v>102127</c:v>
                </c:pt>
                <c:pt idx="1">
                  <c:v>102173</c:v>
                </c:pt>
                <c:pt idx="2">
                  <c:v>114283</c:v>
                </c:pt>
                <c:pt idx="3">
                  <c:v>112901</c:v>
                </c:pt>
                <c:pt idx="4">
                  <c:v>96632</c:v>
                </c:pt>
                <c:pt idx="5">
                  <c:v>109784</c:v>
                </c:pt>
                <c:pt idx="6">
                  <c:v>113228</c:v>
                </c:pt>
                <c:pt idx="7">
                  <c:v>116797</c:v>
                </c:pt>
                <c:pt idx="8">
                  <c:v>107312</c:v>
                </c:pt>
                <c:pt idx="9">
                  <c:v>119521</c:v>
                </c:pt>
                <c:pt idx="10">
                  <c:v>113999</c:v>
                </c:pt>
                <c:pt idx="11">
                  <c:v>111619</c:v>
                </c:pt>
                <c:pt idx="12">
                  <c:v>1320376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17-4212-A151-92394641FA0E}"/>
            </c:ext>
          </c:extLst>
        </c:ser>
        <c:ser>
          <c:idx val="0"/>
          <c:order val="2"/>
          <c:tx>
            <c:strRef>
              <c:f>'Viajeros entr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C17-4212-A151-92394641FA0E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cat'!$K$9:$K$21</c:f>
              <c:numCache>
                <c:formatCode>#,##0</c:formatCode>
                <c:ptCount val="13"/>
                <c:pt idx="0">
                  <c:v>102133</c:v>
                </c:pt>
                <c:pt idx="1">
                  <c:v>112246</c:v>
                </c:pt>
                <c:pt idx="2">
                  <c:v>122937</c:v>
                </c:pt>
                <c:pt idx="3">
                  <c:v>113542</c:v>
                </c:pt>
                <c:pt idx="4">
                  <c:v>110622</c:v>
                </c:pt>
                <c:pt idx="5">
                  <c:v>113390</c:v>
                </c:pt>
                <c:pt idx="6">
                  <c:v>121148</c:v>
                </c:pt>
                <c:pt idx="7">
                  <c:v>126181</c:v>
                </c:pt>
                <c:pt idx="8">
                  <c:v>111150</c:v>
                </c:pt>
                <c:pt idx="9">
                  <c:v>125080</c:v>
                </c:pt>
                <c:pt idx="10">
                  <c:v>113916</c:v>
                </c:pt>
                <c:pt idx="11">
                  <c:v>115450</c:v>
                </c:pt>
                <c:pt idx="12">
                  <c:v>1387795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17-4212-A151-92394641FA0E}"/>
            </c:ext>
          </c:extLst>
        </c:ser>
        <c:ser>
          <c:idx val="1"/>
          <c:order val="3"/>
          <c:tx>
            <c:strRef>
              <c:f>'Viajeros entr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C17-4212-A151-92394641FA0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C17-4212-A151-92394641FA0E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cat'!$M$9:$M$21</c:f>
              <c:numCache>
                <c:formatCode>#,##0</c:formatCode>
                <c:ptCount val="13"/>
                <c:pt idx="0">
                  <c:v>108758</c:v>
                </c:pt>
                <c:pt idx="1">
                  <c:v>115019</c:v>
                </c:pt>
                <c:pt idx="2">
                  <c:v>123198</c:v>
                </c:pt>
                <c:pt idx="3">
                  <c:v>115519</c:v>
                </c:pt>
                <c:pt idx="4">
                  <c:v>116586</c:v>
                </c:pt>
                <c:pt idx="5">
                  <c:v>117164</c:v>
                </c:pt>
                <c:pt idx="6">
                  <c:v>126014</c:v>
                </c:pt>
                <c:pt idx="7">
                  <c:v>123588</c:v>
                </c:pt>
                <c:pt idx="8">
                  <c:v>115871</c:v>
                </c:pt>
                <c:pt idx="9">
                  <c:v>130415</c:v>
                </c:pt>
                <c:pt idx="10">
                  <c:v>118687</c:v>
                </c:pt>
                <c:pt idx="11">
                  <c:v>110730</c:v>
                </c:pt>
                <c:pt idx="12">
                  <c:v>1421549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C17-4212-A151-92394641F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C17-4212-A151-92394641FA0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102767</c:v>
                      </c:pt>
                      <c:pt idx="1">
                        <c:v>105310</c:v>
                      </c:pt>
                      <c:pt idx="2">
                        <c:v>41200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30803</c:v>
                      </c:pt>
                      <c:pt idx="8">
                        <c:v>18180</c:v>
                      </c:pt>
                      <c:pt idx="9">
                        <c:v>21674</c:v>
                      </c:pt>
                      <c:pt idx="10">
                        <c:v>16498</c:v>
                      </c:pt>
                      <c:pt idx="11">
                        <c:v>17398</c:v>
                      </c:pt>
                      <c:pt idx="12">
                        <c:v>375345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C17-4212-A151-92394641FA0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C17-4212-A151-92394641FA0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C17-4212-A151-92394641FA0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C17-4212-A151-92394641FA0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C17-4212-A151-92394641FA0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C17-4212-A151-92394641FA0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C17-4212-A151-92394641FA0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C17-4212-A151-92394641FA0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C17-4212-A151-92394641FA0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C17-4212-A151-92394641FA0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C17-4212-A151-92394641FA0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C17-4212-A151-92394641FA0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C17-4212-A151-92394641FA0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C17-4212-A151-92394641FA0E}"/>
              </c:ext>
            </c:extLst>
          </c:dPt>
          <c:cat>
            <c:strRef>
              <c:f>'Viajeros entr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cat'!$N$9:$N$21</c:f>
              <c:numCache>
                <c:formatCode>0.0%</c:formatCode>
                <c:ptCount val="13"/>
                <c:pt idx="0">
                  <c:v>6.4866399694516019E-2</c:v>
                </c:pt>
                <c:pt idx="1">
                  <c:v>2.4704666536001341E-2</c:v>
                </c:pt>
                <c:pt idx="2">
                  <c:v>2.1230386295418846E-3</c:v>
                </c:pt>
                <c:pt idx="3">
                  <c:v>1.7412058973771849E-2</c:v>
                </c:pt>
                <c:pt idx="4">
                  <c:v>5.3913326463090439E-2</c:v>
                </c:pt>
                <c:pt idx="5">
                  <c:v>3.3283358320839618E-2</c:v>
                </c:pt>
                <c:pt idx="6">
                  <c:v>4.0165747680523056E-2</c:v>
                </c:pt>
                <c:pt idx="7">
                  <c:v>-2.0549845063836836E-2</c:v>
                </c:pt>
                <c:pt idx="8">
                  <c:v>4.2474134053081425E-2</c:v>
                </c:pt>
                <c:pt idx="9">
                  <c:v>4.2652702270546961E-2</c:v>
                </c:pt>
                <c:pt idx="10">
                  <c:v>4.1881737420555565E-2</c:v>
                </c:pt>
                <c:pt idx="11">
                  <c:v>-4.0883499350368169E-2</c:v>
                </c:pt>
                <c:pt idx="12">
                  <c:v>2.4322036035581585E-2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C17-4212-A151-92394641F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0E-4768-92AE-F4633BCEC5D8}"/>
              </c:ext>
            </c:extLst>
          </c:dPt>
          <c:val>
            <c:numRef>
              <c:f>'Viajeros entr evol mensu TF cat'!$I$31:$I$43</c:f>
              <c:numCache>
                <c:formatCode>#,##0</c:formatCode>
                <c:ptCount val="13"/>
                <c:pt idx="0">
                  <c:v>63291</c:v>
                </c:pt>
                <c:pt idx="1">
                  <c:v>61780</c:v>
                </c:pt>
                <c:pt idx="2">
                  <c:v>67669</c:v>
                </c:pt>
                <c:pt idx="3">
                  <c:v>68688</c:v>
                </c:pt>
                <c:pt idx="4">
                  <c:v>62382</c:v>
                </c:pt>
                <c:pt idx="5">
                  <c:v>67287</c:v>
                </c:pt>
                <c:pt idx="6">
                  <c:v>70708</c:v>
                </c:pt>
                <c:pt idx="7">
                  <c:v>69694</c:v>
                </c:pt>
                <c:pt idx="8">
                  <c:v>67208</c:v>
                </c:pt>
                <c:pt idx="9">
                  <c:v>73508</c:v>
                </c:pt>
                <c:pt idx="10">
                  <c:v>71022</c:v>
                </c:pt>
                <c:pt idx="11">
                  <c:v>67674</c:v>
                </c:pt>
                <c:pt idx="12">
                  <c:v>810911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0E-4768-92AE-F4633BCEC5D8}"/>
            </c:ext>
          </c:extLst>
        </c:ser>
        <c:ser>
          <c:idx val="0"/>
          <c:order val="2"/>
          <c:tx>
            <c:strRef>
              <c:f>'Viajeros entr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D0E-4768-92AE-F4633BCEC5D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cat'!$K$31:$K$43</c:f>
              <c:numCache>
                <c:formatCode>#,##0</c:formatCode>
                <c:ptCount val="13"/>
                <c:pt idx="0">
                  <c:v>62043</c:v>
                </c:pt>
                <c:pt idx="1">
                  <c:v>67703</c:v>
                </c:pt>
                <c:pt idx="2">
                  <c:v>75940</c:v>
                </c:pt>
                <c:pt idx="3">
                  <c:v>67726</c:v>
                </c:pt>
                <c:pt idx="4">
                  <c:v>68445</c:v>
                </c:pt>
                <c:pt idx="5">
                  <c:v>70894</c:v>
                </c:pt>
                <c:pt idx="6">
                  <c:v>76375</c:v>
                </c:pt>
                <c:pt idx="7">
                  <c:v>78502</c:v>
                </c:pt>
                <c:pt idx="8">
                  <c:v>71650</c:v>
                </c:pt>
                <c:pt idx="9">
                  <c:v>79884</c:v>
                </c:pt>
                <c:pt idx="10">
                  <c:v>70390</c:v>
                </c:pt>
                <c:pt idx="11">
                  <c:v>71887</c:v>
                </c:pt>
                <c:pt idx="12">
                  <c:v>861439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0E-4768-92AE-F4633BCEC5D8}"/>
            </c:ext>
          </c:extLst>
        </c:ser>
        <c:ser>
          <c:idx val="1"/>
          <c:order val="3"/>
          <c:tx>
            <c:strRef>
              <c:f>'Viajeros entr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0E-4768-92AE-F4633BCEC5D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D0E-4768-92AE-F4633BCEC5D8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cat'!$M$31:$M$43</c:f>
              <c:numCache>
                <c:formatCode>#,##0</c:formatCode>
                <c:ptCount val="13"/>
                <c:pt idx="0">
                  <c:v>69478</c:v>
                </c:pt>
                <c:pt idx="1">
                  <c:v>72932</c:v>
                </c:pt>
                <c:pt idx="2">
                  <c:v>74634</c:v>
                </c:pt>
                <c:pt idx="3">
                  <c:v>66362</c:v>
                </c:pt>
                <c:pt idx="4">
                  <c:v>71750</c:v>
                </c:pt>
                <c:pt idx="5">
                  <c:v>72569</c:v>
                </c:pt>
                <c:pt idx="6">
                  <c:v>77493</c:v>
                </c:pt>
                <c:pt idx="7">
                  <c:v>77343</c:v>
                </c:pt>
                <c:pt idx="8">
                  <c:v>71402</c:v>
                </c:pt>
                <c:pt idx="9">
                  <c:v>81692</c:v>
                </c:pt>
                <c:pt idx="10">
                  <c:v>74798</c:v>
                </c:pt>
                <c:pt idx="11">
                  <c:v>66314</c:v>
                </c:pt>
                <c:pt idx="12">
                  <c:v>876767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D0E-4768-92AE-F4633BCEC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D0E-4768-92AE-F4633BCEC5D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60504</c:v>
                      </c:pt>
                      <c:pt idx="1">
                        <c:v>62555</c:v>
                      </c:pt>
                      <c:pt idx="2">
                        <c:v>24047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14181</c:v>
                      </c:pt>
                      <c:pt idx="8">
                        <c:v>8785</c:v>
                      </c:pt>
                      <c:pt idx="9">
                        <c:v>9727</c:v>
                      </c:pt>
                      <c:pt idx="10">
                        <c:v>7481</c:v>
                      </c:pt>
                      <c:pt idx="11">
                        <c:v>8227</c:v>
                      </c:pt>
                      <c:pt idx="12">
                        <c:v>206279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D0E-4768-92AE-F4633BCEC5D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D0E-4768-92AE-F4633BCEC5D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D0E-4768-92AE-F4633BCEC5D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D0E-4768-92AE-F4633BCEC5D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D0E-4768-92AE-F4633BCEC5D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D0E-4768-92AE-F4633BCEC5D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D0E-4768-92AE-F4633BCEC5D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D0E-4768-92AE-F4633BCEC5D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D0E-4768-92AE-F4633BCEC5D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D0E-4768-92AE-F4633BCEC5D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D0E-4768-92AE-F4633BCEC5D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D0E-4768-92AE-F4633BCEC5D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D0E-4768-92AE-F4633BCEC5D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D0E-4768-92AE-F4633BCEC5D8}"/>
              </c:ext>
            </c:extLst>
          </c:dPt>
          <c:cat>
            <c:strRef>
              <c:f>'Viajeros entr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cat'!$N$31:$N$43</c:f>
              <c:numCache>
                <c:formatCode>0.0%</c:formatCode>
                <c:ptCount val="13"/>
                <c:pt idx="0">
                  <c:v>0.11983624260593451</c:v>
                </c:pt>
                <c:pt idx="1">
                  <c:v>7.7234391385906154E-2</c:v>
                </c:pt>
                <c:pt idx="2">
                  <c:v>-1.7197787727152969E-2</c:v>
                </c:pt>
                <c:pt idx="3">
                  <c:v>-2.0139975784779884E-2</c:v>
                </c:pt>
                <c:pt idx="4">
                  <c:v>4.82869457228432E-2</c:v>
                </c:pt>
                <c:pt idx="5">
                  <c:v>2.3626823144412779E-2</c:v>
                </c:pt>
                <c:pt idx="6">
                  <c:v>1.46382978723405E-2</c:v>
                </c:pt>
                <c:pt idx="7">
                  <c:v>-1.4763955058469835E-2</c:v>
                </c:pt>
                <c:pt idx="8">
                  <c:v>-3.4612700628052773E-3</c:v>
                </c:pt>
                <c:pt idx="9">
                  <c:v>2.2632817585499065E-2</c:v>
                </c:pt>
                <c:pt idx="10">
                  <c:v>6.2622531609603627E-2</c:v>
                </c:pt>
                <c:pt idx="11">
                  <c:v>-7.7524448092144649E-2</c:v>
                </c:pt>
                <c:pt idx="12">
                  <c:v>1.7793482765465773E-2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D0E-4768-92AE-F4633BCEC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00-4AA8-9147-EF16553F3C75}"/>
              </c:ext>
            </c:extLst>
          </c:dPt>
          <c:val>
            <c:numRef>
              <c:f>'Viajeros entr evol mensu TF cat'!$I$53:$I$65</c:f>
              <c:numCache>
                <c:formatCode>#,##0</c:formatCode>
                <c:ptCount val="13"/>
                <c:pt idx="0">
                  <c:v>48326</c:v>
                </c:pt>
                <c:pt idx="1">
                  <c:v>45827</c:v>
                </c:pt>
                <c:pt idx="2">
                  <c:v>48639</c:v>
                </c:pt>
                <c:pt idx="3">
                  <c:v>50475</c:v>
                </c:pt>
                <c:pt idx="4">
                  <c:v>48589</c:v>
                </c:pt>
                <c:pt idx="5">
                  <c:v>50600</c:v>
                </c:pt>
                <c:pt idx="6">
                  <c:v>54308</c:v>
                </c:pt>
                <c:pt idx="7">
                  <c:v>55335</c:v>
                </c:pt>
                <c:pt idx="8">
                  <c:v>51415</c:v>
                </c:pt>
                <c:pt idx="9">
                  <c:v>55616</c:v>
                </c:pt>
                <c:pt idx="10">
                  <c:v>49722</c:v>
                </c:pt>
                <c:pt idx="11">
                  <c:v>51027</c:v>
                </c:pt>
                <c:pt idx="12">
                  <c:v>609879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00-4AA8-9147-EF16553F3C75}"/>
            </c:ext>
          </c:extLst>
        </c:ser>
        <c:ser>
          <c:idx val="0"/>
          <c:order val="2"/>
          <c:tx>
            <c:strRef>
              <c:f>'Viajeros entr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700-4AA8-9147-EF16553F3C7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cat'!$K$53:$K$65</c:f>
              <c:numCache>
                <c:formatCode>#,##0</c:formatCode>
                <c:ptCount val="13"/>
                <c:pt idx="0">
                  <c:v>49934</c:v>
                </c:pt>
                <c:pt idx="1">
                  <c:v>50552</c:v>
                </c:pt>
                <c:pt idx="2">
                  <c:v>55860</c:v>
                </c:pt>
                <c:pt idx="3">
                  <c:v>50481</c:v>
                </c:pt>
                <c:pt idx="4">
                  <c:v>52392</c:v>
                </c:pt>
                <c:pt idx="5">
                  <c:v>52676</c:v>
                </c:pt>
                <c:pt idx="6">
                  <c:v>57122</c:v>
                </c:pt>
                <c:pt idx="7">
                  <c:v>59369</c:v>
                </c:pt>
                <c:pt idx="8">
                  <c:v>54012</c:v>
                </c:pt>
                <c:pt idx="9">
                  <c:v>61026</c:v>
                </c:pt>
                <c:pt idx="10">
                  <c:v>54172</c:v>
                </c:pt>
                <c:pt idx="11">
                  <c:v>53638</c:v>
                </c:pt>
                <c:pt idx="12">
                  <c:v>651234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00-4AA8-9147-EF16553F3C75}"/>
            </c:ext>
          </c:extLst>
        </c:ser>
        <c:ser>
          <c:idx val="1"/>
          <c:order val="3"/>
          <c:tx>
            <c:strRef>
              <c:f>'Viajeros entr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00-4AA8-9147-EF16553F3C7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700-4AA8-9147-EF16553F3C75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cat'!$M$53:$M$65</c:f>
              <c:numCache>
                <c:formatCode>#,##0</c:formatCode>
                <c:ptCount val="13"/>
                <c:pt idx="0">
                  <c:v>51937</c:v>
                </c:pt>
                <c:pt idx="1">
                  <c:v>55634</c:v>
                </c:pt>
                <c:pt idx="2">
                  <c:v>58113</c:v>
                </c:pt>
                <c:pt idx="3">
                  <c:v>51490</c:v>
                </c:pt>
                <c:pt idx="4">
                  <c:v>57980</c:v>
                </c:pt>
                <c:pt idx="5">
                  <c:v>57563</c:v>
                </c:pt>
                <c:pt idx="6">
                  <c:v>61726</c:v>
                </c:pt>
                <c:pt idx="7">
                  <c:v>62832</c:v>
                </c:pt>
                <c:pt idx="8">
                  <c:v>56019</c:v>
                </c:pt>
                <c:pt idx="9">
                  <c:v>65285</c:v>
                </c:pt>
                <c:pt idx="10">
                  <c:v>57471</c:v>
                </c:pt>
                <c:pt idx="11">
                  <c:v>50741</c:v>
                </c:pt>
                <c:pt idx="12">
                  <c:v>686791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00-4AA8-9147-EF16553F3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700-4AA8-9147-EF16553F3C7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44788</c:v>
                      </c:pt>
                      <c:pt idx="1">
                        <c:v>45868</c:v>
                      </c:pt>
                      <c:pt idx="2">
                        <c:v>16834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10075</c:v>
                      </c:pt>
                      <c:pt idx="8">
                        <c:v>6466</c:v>
                      </c:pt>
                      <c:pt idx="9">
                        <c:v>8213</c:v>
                      </c:pt>
                      <c:pt idx="10">
                        <c:v>5716</c:v>
                      </c:pt>
                      <c:pt idx="11">
                        <c:v>6600</c:v>
                      </c:pt>
                      <c:pt idx="12">
                        <c:v>151994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700-4AA8-9147-EF16553F3C7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700-4AA8-9147-EF16553F3C7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700-4AA8-9147-EF16553F3C7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700-4AA8-9147-EF16553F3C7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700-4AA8-9147-EF16553F3C7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700-4AA8-9147-EF16553F3C7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700-4AA8-9147-EF16553F3C7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700-4AA8-9147-EF16553F3C7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700-4AA8-9147-EF16553F3C7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700-4AA8-9147-EF16553F3C7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700-4AA8-9147-EF16553F3C7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700-4AA8-9147-EF16553F3C7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700-4AA8-9147-EF16553F3C7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700-4AA8-9147-EF16553F3C75}"/>
              </c:ext>
            </c:extLst>
          </c:dPt>
          <c:cat>
            <c:strRef>
              <c:f>'Viajeros entr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cat'!$N$53:$N$65</c:f>
              <c:numCache>
                <c:formatCode>0.0%</c:formatCode>
                <c:ptCount val="13"/>
                <c:pt idx="0">
                  <c:v>4.0112949092802497E-2</c:v>
                </c:pt>
                <c:pt idx="1">
                  <c:v>0.10053014717518605</c:v>
                </c:pt>
                <c:pt idx="2">
                  <c:v>4.0332975295381379E-2</c:v>
                </c:pt>
                <c:pt idx="3">
                  <c:v>1.9987718151383671E-2</c:v>
                </c:pt>
                <c:pt idx="4">
                  <c:v>0.10665750496258974</c:v>
                </c:pt>
                <c:pt idx="5">
                  <c:v>9.2774698154757473E-2</c:v>
                </c:pt>
                <c:pt idx="6">
                  <c:v>8.0599418787857591E-2</c:v>
                </c:pt>
                <c:pt idx="7">
                  <c:v>5.8330104936920035E-2</c:v>
                </c:pt>
                <c:pt idx="8">
                  <c:v>3.7158409242390666E-2</c:v>
                </c:pt>
                <c:pt idx="9">
                  <c:v>6.9789925605479697E-2</c:v>
                </c:pt>
                <c:pt idx="10">
                  <c:v>6.0898619212877536E-2</c:v>
                </c:pt>
                <c:pt idx="11">
                  <c:v>-5.401021663745853E-2</c:v>
                </c:pt>
                <c:pt idx="12">
                  <c:v>5.4599422020348953E-2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700-4AA8-9147-EF16553F3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205497302908249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C3-4365-9ADE-09D7E930AA76}"/>
              </c:ext>
            </c:extLst>
          </c:dPt>
          <c:val>
            <c:numRef>
              <c:f>'Viajeros entr evol mensu TF cat'!$I$75:$I$87</c:f>
              <c:numCache>
                <c:formatCode>#,##0</c:formatCode>
                <c:ptCount val="13"/>
                <c:pt idx="0">
                  <c:v>14965</c:v>
                </c:pt>
                <c:pt idx="1">
                  <c:v>15953</c:v>
                </c:pt>
                <c:pt idx="2">
                  <c:v>19030</c:v>
                </c:pt>
                <c:pt idx="3">
                  <c:v>18213</c:v>
                </c:pt>
                <c:pt idx="4">
                  <c:v>13793</c:v>
                </c:pt>
                <c:pt idx="5">
                  <c:v>16687</c:v>
                </c:pt>
                <c:pt idx="6">
                  <c:v>16400</c:v>
                </c:pt>
                <c:pt idx="7">
                  <c:v>14359</c:v>
                </c:pt>
                <c:pt idx="8">
                  <c:v>15793</c:v>
                </c:pt>
                <c:pt idx="9">
                  <c:v>17892</c:v>
                </c:pt>
                <c:pt idx="10">
                  <c:v>21300</c:v>
                </c:pt>
                <c:pt idx="11">
                  <c:v>16647</c:v>
                </c:pt>
                <c:pt idx="12">
                  <c:v>201032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C3-4365-9ADE-09D7E930AA76}"/>
            </c:ext>
          </c:extLst>
        </c:ser>
        <c:ser>
          <c:idx val="0"/>
          <c:order val="2"/>
          <c:tx>
            <c:strRef>
              <c:f>'Viajeros entr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2C3-4365-9ADE-09D7E930AA76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cat'!$K$75:$K$87</c:f>
              <c:numCache>
                <c:formatCode>#,##0</c:formatCode>
                <c:ptCount val="13"/>
                <c:pt idx="0">
                  <c:v>12109</c:v>
                </c:pt>
                <c:pt idx="1">
                  <c:v>17151</c:v>
                </c:pt>
                <c:pt idx="2">
                  <c:v>20080</c:v>
                </c:pt>
                <c:pt idx="3">
                  <c:v>17245</c:v>
                </c:pt>
                <c:pt idx="4">
                  <c:v>16053</c:v>
                </c:pt>
                <c:pt idx="5">
                  <c:v>18218</c:v>
                </c:pt>
                <c:pt idx="6">
                  <c:v>19253</c:v>
                </c:pt>
                <c:pt idx="7">
                  <c:v>19133</c:v>
                </c:pt>
                <c:pt idx="8">
                  <c:v>17638</c:v>
                </c:pt>
                <c:pt idx="9">
                  <c:v>18858</c:v>
                </c:pt>
                <c:pt idx="10">
                  <c:v>16218</c:v>
                </c:pt>
                <c:pt idx="11">
                  <c:v>18249</c:v>
                </c:pt>
                <c:pt idx="12">
                  <c:v>210205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C3-4365-9ADE-09D7E930AA76}"/>
            </c:ext>
          </c:extLst>
        </c:ser>
        <c:ser>
          <c:idx val="1"/>
          <c:order val="3"/>
          <c:tx>
            <c:strRef>
              <c:f>'Viajeros entr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2C3-4365-9ADE-09D7E930AA7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2C3-4365-9ADE-09D7E930AA76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cat'!$M$75:$M$87</c:f>
              <c:numCache>
                <c:formatCode>#,##0</c:formatCode>
                <c:ptCount val="13"/>
                <c:pt idx="0">
                  <c:v>17541</c:v>
                </c:pt>
                <c:pt idx="1">
                  <c:v>17298</c:v>
                </c:pt>
                <c:pt idx="2">
                  <c:v>16521</c:v>
                </c:pt>
                <c:pt idx="3">
                  <c:v>14872</c:v>
                </c:pt>
                <c:pt idx="4">
                  <c:v>13770</c:v>
                </c:pt>
                <c:pt idx="5">
                  <c:v>15006</c:v>
                </c:pt>
                <c:pt idx="6">
                  <c:v>15767</c:v>
                </c:pt>
                <c:pt idx="7">
                  <c:v>14511</c:v>
                </c:pt>
                <c:pt idx="8">
                  <c:v>15383</c:v>
                </c:pt>
                <c:pt idx="9">
                  <c:v>16407</c:v>
                </c:pt>
                <c:pt idx="10">
                  <c:v>17327</c:v>
                </c:pt>
                <c:pt idx="11">
                  <c:v>15573</c:v>
                </c:pt>
                <c:pt idx="12">
                  <c:v>189976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C3-4365-9ADE-09D7E930A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2C3-4365-9ADE-09D7E930AA7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15716</c:v>
                      </c:pt>
                      <c:pt idx="1">
                        <c:v>16687</c:v>
                      </c:pt>
                      <c:pt idx="2">
                        <c:v>7213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4106</c:v>
                      </c:pt>
                      <c:pt idx="8">
                        <c:v>2319</c:v>
                      </c:pt>
                      <c:pt idx="9">
                        <c:v>1514</c:v>
                      </c:pt>
                      <c:pt idx="10">
                        <c:v>1765</c:v>
                      </c:pt>
                      <c:pt idx="11">
                        <c:v>1627</c:v>
                      </c:pt>
                      <c:pt idx="12">
                        <c:v>54285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2C3-4365-9ADE-09D7E930AA7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2C3-4365-9ADE-09D7E930AA7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2C3-4365-9ADE-09D7E930AA7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2C3-4365-9ADE-09D7E930AA7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2C3-4365-9ADE-09D7E930AA7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2C3-4365-9ADE-09D7E930AA7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2C3-4365-9ADE-09D7E930AA7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2C3-4365-9ADE-09D7E930AA7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2C3-4365-9ADE-09D7E930AA7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2C3-4365-9ADE-09D7E930AA7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2C3-4365-9ADE-09D7E930AA7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2C3-4365-9ADE-09D7E930AA7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2C3-4365-9ADE-09D7E930AA7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2C3-4365-9ADE-09D7E930AA76}"/>
              </c:ext>
            </c:extLst>
          </c:dPt>
          <c:cat>
            <c:strRef>
              <c:f>'Viajeros entr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cat'!$N$75:$N$87</c:f>
              <c:numCache>
                <c:formatCode>0.0%</c:formatCode>
                <c:ptCount val="13"/>
                <c:pt idx="0">
                  <c:v>0.44859195639606897</c:v>
                </c:pt>
                <c:pt idx="1">
                  <c:v>8.5709288088158253E-3</c:v>
                </c:pt>
                <c:pt idx="2">
                  <c:v>-0.17724103585657369</c:v>
                </c:pt>
                <c:pt idx="3">
                  <c:v>-0.13760510292838501</c:v>
                </c:pt>
                <c:pt idx="4">
                  <c:v>-0.14221640814800973</c:v>
                </c:pt>
                <c:pt idx="5">
                  <c:v>-0.17630914480184434</c:v>
                </c:pt>
                <c:pt idx="6">
                  <c:v>-0.181062691528593</c:v>
                </c:pt>
                <c:pt idx="7">
                  <c:v>-0.24157215282496214</c:v>
                </c:pt>
                <c:pt idx="8">
                  <c:v>-0.12784896246739996</c:v>
                </c:pt>
                <c:pt idx="9">
                  <c:v>-0.12997136493795736</c:v>
                </c:pt>
                <c:pt idx="10">
                  <c:v>6.8380811444074485E-2</c:v>
                </c:pt>
                <c:pt idx="11">
                  <c:v>-0.14663817195462769</c:v>
                </c:pt>
                <c:pt idx="12">
                  <c:v>-9.6234628101139363E-2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2C3-4365-9ADE-09D7E930A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446751207729469"/>
          <c:y val="0.11476520521627519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AD-4AF0-BC4B-9D10AE03FFC1}"/>
              </c:ext>
            </c:extLst>
          </c:dPt>
          <c:val>
            <c:numRef>
              <c:f>'Viajeros entr evol mensu TF cat'!$I$97:$I$109</c:f>
              <c:numCache>
                <c:formatCode>#,##0</c:formatCode>
                <c:ptCount val="13"/>
                <c:pt idx="0">
                  <c:v>38836</c:v>
                </c:pt>
                <c:pt idx="1">
                  <c:v>40393</c:v>
                </c:pt>
                <c:pt idx="2">
                  <c:v>46614</c:v>
                </c:pt>
                <c:pt idx="3">
                  <c:v>44213</c:v>
                </c:pt>
                <c:pt idx="4">
                  <c:v>34250</c:v>
                </c:pt>
                <c:pt idx="5">
                  <c:v>42497</c:v>
                </c:pt>
                <c:pt idx="6">
                  <c:v>42520</c:v>
                </c:pt>
                <c:pt idx="7">
                  <c:v>47103</c:v>
                </c:pt>
                <c:pt idx="8">
                  <c:v>40104</c:v>
                </c:pt>
                <c:pt idx="9">
                  <c:v>46013</c:v>
                </c:pt>
                <c:pt idx="10">
                  <c:v>42977</c:v>
                </c:pt>
                <c:pt idx="11">
                  <c:v>43945</c:v>
                </c:pt>
                <c:pt idx="12">
                  <c:v>509465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AD-4AF0-BC4B-9D10AE03FFC1}"/>
            </c:ext>
          </c:extLst>
        </c:ser>
        <c:ser>
          <c:idx val="0"/>
          <c:order val="2"/>
          <c:tx>
            <c:strRef>
              <c:f>'Viajeros entr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5AD-4AF0-BC4B-9D10AE03FFC1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cat'!$K$97:$K$109</c:f>
              <c:numCache>
                <c:formatCode>#,##0</c:formatCode>
                <c:ptCount val="13"/>
                <c:pt idx="0">
                  <c:v>40090</c:v>
                </c:pt>
                <c:pt idx="1">
                  <c:v>44543</c:v>
                </c:pt>
                <c:pt idx="2">
                  <c:v>46997</c:v>
                </c:pt>
                <c:pt idx="3">
                  <c:v>45816</c:v>
                </c:pt>
                <c:pt idx="4">
                  <c:v>42177</c:v>
                </c:pt>
                <c:pt idx="5">
                  <c:v>42496</c:v>
                </c:pt>
                <c:pt idx="6">
                  <c:v>44773</c:v>
                </c:pt>
                <c:pt idx="7">
                  <c:v>47679</c:v>
                </c:pt>
                <c:pt idx="8">
                  <c:v>39500</c:v>
                </c:pt>
                <c:pt idx="9">
                  <c:v>45196</c:v>
                </c:pt>
                <c:pt idx="10">
                  <c:v>43526</c:v>
                </c:pt>
                <c:pt idx="11">
                  <c:v>43563</c:v>
                </c:pt>
                <c:pt idx="12">
                  <c:v>526356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AD-4AF0-BC4B-9D10AE03FFC1}"/>
            </c:ext>
          </c:extLst>
        </c:ser>
        <c:ser>
          <c:idx val="1"/>
          <c:order val="3"/>
          <c:tx>
            <c:strRef>
              <c:f>'Viajeros entr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65AD-4AF0-BC4B-9D10AE03FFC1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5AD-4AF0-BC4B-9D10AE03FFC1}"/>
              </c:ext>
            </c:extLst>
          </c:dPt>
          <c:cat>
            <c:strRef>
              <c:f>'Viajeros entr evol mensu TF cat'!$A$9:$A$21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 cat'!$M$97:$M$109</c:f>
              <c:numCache>
                <c:formatCode>#,##0</c:formatCode>
                <c:ptCount val="13"/>
                <c:pt idx="0">
                  <c:v>39280</c:v>
                </c:pt>
                <c:pt idx="1">
                  <c:v>42087</c:v>
                </c:pt>
                <c:pt idx="2">
                  <c:v>48564</c:v>
                </c:pt>
                <c:pt idx="3">
                  <c:v>49157</c:v>
                </c:pt>
                <c:pt idx="4">
                  <c:v>44836</c:v>
                </c:pt>
                <c:pt idx="5">
                  <c:v>44595</c:v>
                </c:pt>
                <c:pt idx="6">
                  <c:v>48521</c:v>
                </c:pt>
                <c:pt idx="7">
                  <c:v>46245</c:v>
                </c:pt>
                <c:pt idx="8">
                  <c:v>44469</c:v>
                </c:pt>
                <c:pt idx="9">
                  <c:v>48723</c:v>
                </c:pt>
                <c:pt idx="10">
                  <c:v>43889</c:v>
                </c:pt>
                <c:pt idx="11">
                  <c:v>44416</c:v>
                </c:pt>
                <c:pt idx="12">
                  <c:v>544782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5AD-4AF0-BC4B-9D10AE03F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65AD-4AF0-BC4B-9D10AE03FFC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 cat'!$A$9:$A$21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42263</c:v>
                      </c:pt>
                      <c:pt idx="1">
                        <c:v>42755</c:v>
                      </c:pt>
                      <c:pt idx="2">
                        <c:v>17153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16622</c:v>
                      </c:pt>
                      <c:pt idx="8">
                        <c:v>9395</c:v>
                      </c:pt>
                      <c:pt idx="9">
                        <c:v>11947</c:v>
                      </c:pt>
                      <c:pt idx="10">
                        <c:v>9017</c:v>
                      </c:pt>
                      <c:pt idx="11">
                        <c:v>9171</c:v>
                      </c:pt>
                      <c:pt idx="12">
                        <c:v>169066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65AD-4AF0-BC4B-9D10AE03FFC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5AD-4AF0-BC4B-9D10AE03FFC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5AD-4AF0-BC4B-9D10AE03FFC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5AD-4AF0-BC4B-9D10AE03FFC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5AD-4AF0-BC4B-9D10AE03FFC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5AD-4AF0-BC4B-9D10AE03FFC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5AD-4AF0-BC4B-9D10AE03FFC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5AD-4AF0-BC4B-9D10AE03FFC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5AD-4AF0-BC4B-9D10AE03FFC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5AD-4AF0-BC4B-9D10AE03FFC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5AD-4AF0-BC4B-9D10AE03FFC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5AD-4AF0-BC4B-9D10AE03FFC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5AD-4AF0-BC4B-9D10AE03FFC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5AD-4AF0-BC4B-9D10AE03FFC1}"/>
              </c:ext>
            </c:extLst>
          </c:dPt>
          <c:cat>
            <c:strRef>
              <c:f>'Viajeros entr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 cat'!$N$97:$N$109</c:f>
              <c:numCache>
                <c:formatCode>0.0%</c:formatCode>
                <c:ptCount val="13"/>
                <c:pt idx="0">
                  <c:v>-2.0204539785482645E-2</c:v>
                </c:pt>
                <c:pt idx="1">
                  <c:v>-5.5137732079114543E-2</c:v>
                </c:pt>
                <c:pt idx="2">
                  <c:v>3.3342553780028483E-2</c:v>
                </c:pt>
                <c:pt idx="3">
                  <c:v>7.292212327571157E-2</c:v>
                </c:pt>
                <c:pt idx="4">
                  <c:v>6.3043839059202966E-2</c:v>
                </c:pt>
                <c:pt idx="5">
                  <c:v>4.9392884036144613E-2</c:v>
                </c:pt>
                <c:pt idx="6">
                  <c:v>8.3711165211176386E-2</c:v>
                </c:pt>
                <c:pt idx="7">
                  <c:v>-3.0076134147108746E-2</c:v>
                </c:pt>
                <c:pt idx="8">
                  <c:v>0.12579746835443029</c:v>
                </c:pt>
                <c:pt idx="9">
                  <c:v>7.8037879458359161E-2</c:v>
                </c:pt>
                <c:pt idx="10">
                  <c:v>8.3398428525478518E-3</c:v>
                </c:pt>
                <c:pt idx="11">
                  <c:v>1.9580836948786873E-2</c:v>
                </c:pt>
                <c:pt idx="12">
                  <c:v>3.5006725486172785E-2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5AD-4AF0-BC4B-9D10AE03F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cat'!$C$8:$C$22</c:f>
              <c:numCache>
                <c:formatCode>#,##0</c:formatCode>
                <c:ptCount val="15"/>
                <c:pt idx="0">
                  <c:v>1387795</c:v>
                </c:pt>
                <c:pt idx="1">
                  <c:v>1320376</c:v>
                </c:pt>
                <c:pt idx="2">
                  <c:v>1243535</c:v>
                </c:pt>
                <c:pt idx="3">
                  <c:v>492258</c:v>
                </c:pt>
                <c:pt idx="4">
                  <c:v>375345</c:v>
                </c:pt>
                <c:pt idx="5">
                  <c:v>1299411</c:v>
                </c:pt>
                <c:pt idx="6">
                  <c:v>1322818</c:v>
                </c:pt>
                <c:pt idx="7">
                  <c:v>1360793</c:v>
                </c:pt>
                <c:pt idx="8">
                  <c:v>1347211</c:v>
                </c:pt>
                <c:pt idx="9">
                  <c:v>1241852</c:v>
                </c:pt>
                <c:pt idx="10">
                  <c:v>1207652</c:v>
                </c:pt>
                <c:pt idx="11">
                  <c:v>1179248</c:v>
                </c:pt>
                <c:pt idx="12">
                  <c:v>1140909</c:v>
                </c:pt>
                <c:pt idx="13">
                  <c:v>1138202</c:v>
                </c:pt>
                <c:pt idx="14">
                  <c:v>1027823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A-4C66-A296-3DA64185B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cat'!$D$8:$D$22</c:f>
              <c:numCache>
                <c:formatCode>0.0%</c:formatCode>
                <c:ptCount val="15"/>
                <c:pt idx="0">
                  <c:v>5.10604555066132E-2</c:v>
                </c:pt>
                <c:pt idx="1">
                  <c:v>6.1792390242333406E-2</c:v>
                </c:pt>
                <c:pt idx="2">
                  <c:v>1.5261854555944239</c:v>
                </c:pt>
                <c:pt idx="3">
                  <c:v>0.31148143707788845</c:v>
                </c:pt>
                <c:pt idx="4">
                  <c:v>-0.71114220212080703</c:v>
                </c:pt>
                <c:pt idx="5">
                  <c:v>-1.7694800040519598E-2</c:v>
                </c:pt>
                <c:pt idx="6">
                  <c:v>-2.7906522152891688E-2</c:v>
                </c:pt>
                <c:pt idx="7">
                  <c:v>1.008156851450881E-2</c:v>
                </c:pt>
                <c:pt idx="8">
                  <c:v>8.4840222506385565E-2</c:v>
                </c:pt>
                <c:pt idx="9">
                  <c:v>2.8319416520653284E-2</c:v>
                </c:pt>
                <c:pt idx="10">
                  <c:v>2.4086536504619893E-2</c:v>
                </c:pt>
                <c:pt idx="11">
                  <c:v>3.3603907060072213E-2</c:v>
                </c:pt>
                <c:pt idx="12">
                  <c:v>2.3783124612326567E-3</c:v>
                </c:pt>
                <c:pt idx="13">
                  <c:v>0.10739105857720643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A-4C66-A296-3DA64185B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B7-495C-AA02-A742E4E0B5B9}"/>
              </c:ext>
            </c:extLst>
          </c:dPt>
          <c:val>
            <c:numRef>
              <c:f>'Viajeros entr evol mensu TF'!$I$31:$I$43</c:f>
              <c:numCache>
                <c:formatCode>#,##0</c:formatCode>
                <c:ptCount val="13"/>
                <c:pt idx="0">
                  <c:v>5690</c:v>
                </c:pt>
                <c:pt idx="1">
                  <c:v>4224</c:v>
                </c:pt>
                <c:pt idx="2">
                  <c:v>6239</c:v>
                </c:pt>
                <c:pt idx="3">
                  <c:v>12713</c:v>
                </c:pt>
                <c:pt idx="4">
                  <c:v>8043</c:v>
                </c:pt>
                <c:pt idx="5">
                  <c:v>12303</c:v>
                </c:pt>
                <c:pt idx="6">
                  <c:v>15011</c:v>
                </c:pt>
                <c:pt idx="7">
                  <c:v>19950</c:v>
                </c:pt>
                <c:pt idx="8">
                  <c:v>10743</c:v>
                </c:pt>
                <c:pt idx="9">
                  <c:v>10093</c:v>
                </c:pt>
                <c:pt idx="10">
                  <c:v>7021</c:v>
                </c:pt>
                <c:pt idx="11">
                  <c:v>7457</c:v>
                </c:pt>
                <c:pt idx="12">
                  <c:v>119487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B7-495C-AA02-A742E4E0B5B9}"/>
            </c:ext>
          </c:extLst>
        </c:ser>
        <c:ser>
          <c:idx val="0"/>
          <c:order val="2"/>
          <c:tx>
            <c:strRef>
              <c:f>'Viajeros entr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4B7-495C-AA02-A742E4E0B5B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TF'!$K$31:$K$43</c:f>
              <c:numCache>
                <c:formatCode>#,##0</c:formatCode>
                <c:ptCount val="13"/>
                <c:pt idx="0">
                  <c:v>4375</c:v>
                </c:pt>
                <c:pt idx="1">
                  <c:v>4931</c:v>
                </c:pt>
                <c:pt idx="2">
                  <c:v>8729</c:v>
                </c:pt>
                <c:pt idx="3">
                  <c:v>8246</c:v>
                </c:pt>
                <c:pt idx="4">
                  <c:v>9596</c:v>
                </c:pt>
                <c:pt idx="5">
                  <c:v>10664</c:v>
                </c:pt>
                <c:pt idx="6">
                  <c:v>14582</c:v>
                </c:pt>
                <c:pt idx="7">
                  <c:v>19201</c:v>
                </c:pt>
                <c:pt idx="8">
                  <c:v>10757</c:v>
                </c:pt>
                <c:pt idx="9">
                  <c:v>9833</c:v>
                </c:pt>
                <c:pt idx="10">
                  <c:v>6177</c:v>
                </c:pt>
                <c:pt idx="11">
                  <c:v>7541</c:v>
                </c:pt>
                <c:pt idx="12">
                  <c:v>114632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B7-495C-AA02-A742E4E0B5B9}"/>
            </c:ext>
          </c:extLst>
        </c:ser>
        <c:ser>
          <c:idx val="1"/>
          <c:order val="3"/>
          <c:tx>
            <c:strRef>
              <c:f>'Viajeros entr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4B7-495C-AA02-A742E4E0B5B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4B7-495C-AA02-A742E4E0B5B9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TF'!$M$31:$M$43</c:f>
              <c:numCache>
                <c:formatCode>#,##0</c:formatCode>
                <c:ptCount val="13"/>
                <c:pt idx="0">
                  <c:v>5520</c:v>
                </c:pt>
                <c:pt idx="1">
                  <c:v>5645</c:v>
                </c:pt>
                <c:pt idx="2">
                  <c:v>5678</c:v>
                </c:pt>
                <c:pt idx="3">
                  <c:v>12728</c:v>
                </c:pt>
                <c:pt idx="4">
                  <c:v>9435</c:v>
                </c:pt>
                <c:pt idx="5">
                  <c:v>10671</c:v>
                </c:pt>
                <c:pt idx="6">
                  <c:v>13728</c:v>
                </c:pt>
                <c:pt idx="7">
                  <c:v>17657</c:v>
                </c:pt>
                <c:pt idx="8">
                  <c:v>12182</c:v>
                </c:pt>
                <c:pt idx="9">
                  <c:v>10585</c:v>
                </c:pt>
                <c:pt idx="10">
                  <c:v>6876</c:v>
                </c:pt>
                <c:pt idx="11">
                  <c:v>7552</c:v>
                </c:pt>
                <c:pt idx="12">
                  <c:v>118257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4B7-495C-AA02-A742E4E0B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4B7-495C-AA02-A742E4E0B5B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5572</c:v>
                      </c:pt>
                      <c:pt idx="1">
                        <c:v>6245</c:v>
                      </c:pt>
                      <c:pt idx="2">
                        <c:v>2136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13164</c:v>
                      </c:pt>
                      <c:pt idx="8">
                        <c:v>7078</c:v>
                      </c:pt>
                      <c:pt idx="9">
                        <c:v>7771</c:v>
                      </c:pt>
                      <c:pt idx="10">
                        <c:v>2621</c:v>
                      </c:pt>
                      <c:pt idx="11">
                        <c:v>2321</c:v>
                      </c:pt>
                      <c:pt idx="12">
                        <c:v>51760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4B7-495C-AA02-A742E4E0B5B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4B7-495C-AA02-A742E4E0B5B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4B7-495C-AA02-A742E4E0B5B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4B7-495C-AA02-A742E4E0B5B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4B7-495C-AA02-A742E4E0B5B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4B7-495C-AA02-A742E4E0B5B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4B7-495C-AA02-A742E4E0B5B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4B7-495C-AA02-A742E4E0B5B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4B7-495C-AA02-A742E4E0B5B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4B7-495C-AA02-A742E4E0B5B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4B7-495C-AA02-A742E4E0B5B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4B7-495C-AA02-A742E4E0B5B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4B7-495C-AA02-A742E4E0B5B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4B7-495C-AA02-A742E4E0B5B9}"/>
              </c:ext>
            </c:extLst>
          </c:dPt>
          <c:cat>
            <c:strRef>
              <c:f>'Viajeros entr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TF'!$N$31:$N$43</c:f>
              <c:numCache>
                <c:formatCode>0.0%</c:formatCode>
                <c:ptCount val="13"/>
                <c:pt idx="0">
                  <c:v>0.26171428571428579</c:v>
                </c:pt>
                <c:pt idx="1">
                  <c:v>0.14479821537213544</c:v>
                </c:pt>
                <c:pt idx="2">
                  <c:v>-0.34952457326154196</c:v>
                </c:pt>
                <c:pt idx="3">
                  <c:v>0.54353626000485078</c:v>
                </c:pt>
                <c:pt idx="4">
                  <c:v>-1.6777824093372251E-2</c:v>
                </c:pt>
                <c:pt idx="5">
                  <c:v>6.5641410352590412E-4</c:v>
                </c:pt>
                <c:pt idx="6">
                  <c:v>-5.856535454670142E-2</c:v>
                </c:pt>
                <c:pt idx="7">
                  <c:v>-8.0412478516743935E-2</c:v>
                </c:pt>
                <c:pt idx="8">
                  <c:v>0.1324718787766106</c:v>
                </c:pt>
                <c:pt idx="9">
                  <c:v>7.6477168717583588E-2</c:v>
                </c:pt>
                <c:pt idx="10">
                  <c:v>0.1131617289946576</c:v>
                </c:pt>
                <c:pt idx="11">
                  <c:v>1.4586924811033075E-3</c:v>
                </c:pt>
                <c:pt idx="12">
                  <c:v>3.1622932514481228E-2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4B7-495C-AA02-A742E4E0B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cat'!$C$31:$C$45</c:f>
              <c:numCache>
                <c:formatCode>#,##0</c:formatCode>
                <c:ptCount val="15"/>
                <c:pt idx="0">
                  <c:v>861439</c:v>
                </c:pt>
                <c:pt idx="1">
                  <c:v>810911</c:v>
                </c:pt>
                <c:pt idx="2">
                  <c:v>752557</c:v>
                </c:pt>
                <c:pt idx="3">
                  <c:v>256749</c:v>
                </c:pt>
                <c:pt idx="4">
                  <c:v>206279</c:v>
                </c:pt>
                <c:pt idx="5">
                  <c:v>729995</c:v>
                </c:pt>
                <c:pt idx="6">
                  <c:v>708935</c:v>
                </c:pt>
                <c:pt idx="7">
                  <c:v>722030</c:v>
                </c:pt>
                <c:pt idx="8">
                  <c:v>738826</c:v>
                </c:pt>
                <c:pt idx="9">
                  <c:v>674992</c:v>
                </c:pt>
                <c:pt idx="10">
                  <c:v>642601</c:v>
                </c:pt>
                <c:pt idx="11">
                  <c:v>623830</c:v>
                </c:pt>
                <c:pt idx="12">
                  <c:v>609497</c:v>
                </c:pt>
                <c:pt idx="13">
                  <c:v>614736</c:v>
                </c:pt>
                <c:pt idx="14">
                  <c:v>562934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B-492F-A88C-4173B6945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cat'!$D$31:$D$45</c:f>
              <c:numCache>
                <c:formatCode>0.0%</c:formatCode>
                <c:ptCount val="15"/>
                <c:pt idx="0">
                  <c:v>6.231016720700544E-2</c:v>
                </c:pt>
                <c:pt idx="1">
                  <c:v>7.7540970318527469E-2</c:v>
                </c:pt>
                <c:pt idx="2">
                  <c:v>1.9311000237586127</c:v>
                </c:pt>
                <c:pt idx="3">
                  <c:v>0.24466862841103554</c:v>
                </c:pt>
                <c:pt idx="4">
                  <c:v>-0.71742409194583523</c:v>
                </c:pt>
                <c:pt idx="5">
                  <c:v>2.9706531628428623E-2</c:v>
                </c:pt>
                <c:pt idx="6">
                  <c:v>-1.8136365524978215E-2</c:v>
                </c:pt>
                <c:pt idx="7">
                  <c:v>-2.2733363471236778E-2</c:v>
                </c:pt>
                <c:pt idx="8">
                  <c:v>9.4570009718633719E-2</c:v>
                </c:pt>
                <c:pt idx="9">
                  <c:v>5.0406084024145592E-2</c:v>
                </c:pt>
                <c:pt idx="10">
                  <c:v>3.0089928345863548E-2</c:v>
                </c:pt>
                <c:pt idx="11">
                  <c:v>2.3516112466509309E-2</c:v>
                </c:pt>
                <c:pt idx="12">
                  <c:v>-8.5223575648734062E-3</c:v>
                </c:pt>
                <c:pt idx="13">
                  <c:v>9.2021444787488305E-2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B-492F-A88C-4173B6945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cat'!$C$54:$C$68</c:f>
              <c:numCache>
                <c:formatCode>#,##0</c:formatCode>
                <c:ptCount val="15"/>
                <c:pt idx="0">
                  <c:v>651234</c:v>
                </c:pt>
                <c:pt idx="1">
                  <c:v>609879</c:v>
                </c:pt>
                <c:pt idx="2">
                  <c:v>573367</c:v>
                </c:pt>
                <c:pt idx="3">
                  <c:v>206077</c:v>
                </c:pt>
                <c:pt idx="4">
                  <c:v>151994</c:v>
                </c:pt>
                <c:pt idx="5">
                  <c:v>552295</c:v>
                </c:pt>
                <c:pt idx="6">
                  <c:v>510204</c:v>
                </c:pt>
                <c:pt idx="7">
                  <c:v>508931</c:v>
                </c:pt>
                <c:pt idx="8">
                  <c:v>529296</c:v>
                </c:pt>
                <c:pt idx="9">
                  <c:v>490647</c:v>
                </c:pt>
                <c:pt idx="10">
                  <c:v>462729</c:v>
                </c:pt>
                <c:pt idx="11">
                  <c:v>441183</c:v>
                </c:pt>
                <c:pt idx="12">
                  <c:v>422920</c:v>
                </c:pt>
                <c:pt idx="13">
                  <c:v>411341</c:v>
                </c:pt>
                <c:pt idx="14">
                  <c:v>386941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D-41FC-8439-F6EF5B20E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entr evol anual TF cat'!$D$53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entr evol anual TF cat'!$B$54:$B$68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entr evol anual TF cat'!$D$54:$D$68</c:f>
              <c:numCache>
                <c:formatCode>0.0%</c:formatCode>
                <c:ptCount val="15"/>
                <c:pt idx="0">
                  <c:v>6.7808532512186881E-2</c:v>
                </c:pt>
                <c:pt idx="1">
                  <c:v>6.3679981582476897E-2</c:v>
                </c:pt>
                <c:pt idx="2">
                  <c:v>1.7822949674150923</c:v>
                </c:pt>
                <c:pt idx="3">
                  <c:v>0.35582325618116495</c:v>
                </c:pt>
                <c:pt idx="4">
                  <c:v>-0.72479562552621335</c:v>
                </c:pt>
                <c:pt idx="5">
                  <c:v>8.2498373199739738E-2</c:v>
                </c:pt>
                <c:pt idx="6">
                  <c:v>2.50132139720316E-3</c:v>
                </c:pt>
                <c:pt idx="7">
                  <c:v>-3.8475635561198263E-2</c:v>
                </c:pt>
                <c:pt idx="8">
                  <c:v>7.8771499672880996E-2</c:v>
                </c:pt>
                <c:pt idx="9">
                  <c:v>6.0333370071899539E-2</c:v>
                </c:pt>
                <c:pt idx="10">
                  <c:v>4.8836877214217145E-2</c:v>
                </c:pt>
                <c:pt idx="11">
                  <c:v>4.3183107916390906E-2</c:v>
                </c:pt>
                <c:pt idx="12">
                  <c:v>2.8149394298161434E-2</c:v>
                </c:pt>
                <c:pt idx="13">
                  <c:v>6.3058709208897445E-2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D-41FC-8439-F6EF5B20E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 años 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9C-4F1E-87A4-31D3EBC0F72F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D9C-4F1E-87A4-31D3EBC0F72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D9C-4F1E-87A4-31D3EBC0F72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D9C-4F1E-87A4-31D3EBC0F72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D9C-4F1E-87A4-31D3EBC0F72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D9C-4F1E-87A4-31D3EBC0F72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D9C-4F1E-87A4-31D3EBC0F72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D9C-4F1E-87A4-31D3EBC0F7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'!$T$8:$T$9,'viaj entrados lugar resid años '!$T$12:$T$20)</c:f>
              <c:numCache>
                <c:formatCode>#,##0</c:formatCode>
                <c:ptCount val="11"/>
                <c:pt idx="0">
                  <c:v>1387795</c:v>
                </c:pt>
                <c:pt idx="1">
                  <c:v>114632</c:v>
                </c:pt>
                <c:pt idx="2">
                  <c:v>1273163</c:v>
                </c:pt>
                <c:pt idx="3">
                  <c:v>683651</c:v>
                </c:pt>
                <c:pt idx="4">
                  <c:v>44501</c:v>
                </c:pt>
                <c:pt idx="5">
                  <c:v>29098</c:v>
                </c:pt>
                <c:pt idx="6">
                  <c:v>57898</c:v>
                </c:pt>
                <c:pt idx="7">
                  <c:v>44633</c:v>
                </c:pt>
                <c:pt idx="8">
                  <c:v>22219</c:v>
                </c:pt>
                <c:pt idx="9">
                  <c:v>24735</c:v>
                </c:pt>
                <c:pt idx="10">
                  <c:v>366428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9C-4F1E-87A4-31D3EBC0F72F}"/>
            </c:ext>
          </c:extLst>
        </c:ser>
        <c:ser>
          <c:idx val="1"/>
          <c:order val="1"/>
          <c:tx>
            <c:strRef>
              <c:f>'viaj entrados lugar resid años 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'!$U$8:$U$9,'viaj entrados lugar resid años '!$U$12:$U$20)</c:f>
              <c:numCache>
                <c:formatCode>0.0%</c:formatCode>
                <c:ptCount val="11"/>
                <c:pt idx="0">
                  <c:v>5.10604555066132E-2</c:v>
                </c:pt>
                <c:pt idx="1">
                  <c:v>-4.063203528417314E-2</c:v>
                </c:pt>
                <c:pt idx="2">
                  <c:v>6.0183747207277261E-2</c:v>
                </c:pt>
                <c:pt idx="3">
                  <c:v>7.7148385185745294E-2</c:v>
                </c:pt>
                <c:pt idx="4">
                  <c:v>-1.3697112081384799E-2</c:v>
                </c:pt>
                <c:pt idx="5">
                  <c:v>7.6182561119191305E-3</c:v>
                </c:pt>
                <c:pt idx="6">
                  <c:v>4.3696145942243136E-2</c:v>
                </c:pt>
                <c:pt idx="7">
                  <c:v>1.0184912749247488E-2</c:v>
                </c:pt>
                <c:pt idx="8">
                  <c:v>-5.4671545268890398E-2</c:v>
                </c:pt>
                <c:pt idx="9">
                  <c:v>-6.7518660936439767E-2</c:v>
                </c:pt>
                <c:pt idx="10">
                  <c:v>6.9803426963175763E-2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D9C-4F1E-87A4-31D3EBC0F72F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D9C-4F1E-87A4-31D3EBC0F72F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D9C-4F1E-87A4-31D3EBC0F72F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D9C-4F1E-87A4-31D3EBC0F72F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D9C-4F1E-87A4-31D3EBC0F72F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D9C-4F1E-87A4-31D3EBC0F72F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D9C-4F1E-87A4-31D3EBC0F72F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D9C-4F1E-87A4-31D3EBC0F72F}"/>
              </c:ext>
            </c:extLst>
          </c:dPt>
          <c:cat>
            <c:strRef>
              <c:f>('viaj entrados lugar resid años '!$N$8:$N$9,'viaj entrados lugar resid años 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 años '!$W$8:$W$9,'viaj entrados lugar resid años '!$W$12:$W$20)</c:f>
              <c:numCache>
                <c:formatCode>0.0%</c:formatCode>
                <c:ptCount val="11"/>
                <c:pt idx="0">
                  <c:v>1</c:v>
                </c:pt>
                <c:pt idx="1">
                  <c:v>8.2600095835480031E-2</c:v>
                </c:pt>
                <c:pt idx="2">
                  <c:v>0.91739990416452</c:v>
                </c:pt>
                <c:pt idx="3">
                  <c:v>0.49261670491679249</c:v>
                </c:pt>
                <c:pt idx="4">
                  <c:v>3.2065975162037623E-2</c:v>
                </c:pt>
                <c:pt idx="5">
                  <c:v>2.0967073667220303E-2</c:v>
                </c:pt>
                <c:pt idx="6">
                  <c:v>4.1719418213785178E-2</c:v>
                </c:pt>
                <c:pt idx="7">
                  <c:v>3.2161090074542709E-2</c:v>
                </c:pt>
                <c:pt idx="8">
                  <c:v>1.6010289704171007E-2</c:v>
                </c:pt>
                <c:pt idx="9">
                  <c:v>1.7823237581919518E-2</c:v>
                </c:pt>
                <c:pt idx="10">
                  <c:v>0.26403611484405115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D9C-4F1E-87A4-31D3EBC0F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8932313911888835"/>
          <c:w val="0.95795330741250462"/>
          <c:h val="0.429207627242083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residencia'!$R$9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2A-49C3-930A-6BFB81B52388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2A-49C3-930A-6BFB81B5238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02A-49C3-930A-6BFB81B5238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02A-49C3-930A-6BFB81B5238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02A-49C3-930A-6BFB81B5238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02A-49C3-930A-6BFB81B5238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02A-49C3-930A-6BFB81B5238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02A-49C3-930A-6BFB81B523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residencia'!$R$11:$R$23</c:f>
              <c:numCache>
                <c:formatCode>#,##0</c:formatCode>
                <c:ptCount val="13"/>
                <c:pt idx="0">
                  <c:v>115450</c:v>
                </c:pt>
                <c:pt idx="1">
                  <c:v>7541</c:v>
                </c:pt>
                <c:pt idx="2">
                  <c:v>2740</c:v>
                </c:pt>
                <c:pt idx="3">
                  <c:v>4801</c:v>
                </c:pt>
                <c:pt idx="4">
                  <c:v>107909</c:v>
                </c:pt>
                <c:pt idx="5">
                  <c:v>50165</c:v>
                </c:pt>
                <c:pt idx="6">
                  <c:v>5171</c:v>
                </c:pt>
                <c:pt idx="7">
                  <c:v>2212</c:v>
                </c:pt>
                <c:pt idx="8">
                  <c:v>4450</c:v>
                </c:pt>
                <c:pt idx="9">
                  <c:v>4236</c:v>
                </c:pt>
                <c:pt idx="10">
                  <c:v>3064</c:v>
                </c:pt>
                <c:pt idx="11">
                  <c:v>4168</c:v>
                </c:pt>
                <c:pt idx="12">
                  <c:v>34443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02A-49C3-930A-6BFB81B52388}"/>
            </c:ext>
          </c:extLst>
        </c:ser>
        <c:ser>
          <c:idx val="1"/>
          <c:order val="1"/>
          <c:tx>
            <c:strRef>
              <c:f>'viaj entrados lugar residencia'!$S$9</c:f>
              <c:strCache>
                <c:ptCount val="1"/>
                <c:pt idx="0">
                  <c:v>diciembre 2025</c:v>
                </c:pt>
              </c:strCache>
            </c:strRef>
          </c:tx>
          <c:invertIfNegative val="0"/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residencia'!$S$11:$S$23</c:f>
              <c:numCache>
                <c:formatCode>0.0%</c:formatCode>
                <c:ptCount val="13"/>
                <c:pt idx="0">
                  <c:v>3.4322113618649119E-2</c:v>
                </c:pt>
                <c:pt idx="1">
                  <c:v>1.1264583612712986E-2</c:v>
                </c:pt>
                <c:pt idx="2">
                  <c:v>-2.2475918658580119E-2</c:v>
                </c:pt>
                <c:pt idx="3">
                  <c:v>3.1585732703051095E-2</c:v>
                </c:pt>
                <c:pt idx="4">
                  <c:v>3.5972811581958863E-2</c:v>
                </c:pt>
                <c:pt idx="5">
                  <c:v>1.5958847236567708E-2</c:v>
                </c:pt>
                <c:pt idx="6">
                  <c:v>3.939698492462318E-2</c:v>
                </c:pt>
                <c:pt idx="7">
                  <c:v>7.7447637603507147E-2</c:v>
                </c:pt>
                <c:pt idx="8">
                  <c:v>-5.4197662061636565E-2</c:v>
                </c:pt>
                <c:pt idx="9">
                  <c:v>-4.0326234707748099E-2</c:v>
                </c:pt>
                <c:pt idx="10">
                  <c:v>6.4258423063563663E-2</c:v>
                </c:pt>
                <c:pt idx="11">
                  <c:v>-8.9956331877729223E-2</c:v>
                </c:pt>
                <c:pt idx="12">
                  <c:v>0.10468584624266342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02A-49C3-930A-6BFB81B5238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02A-49C3-930A-6BFB81B5238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02A-49C3-930A-6BFB81B5238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02A-49C3-930A-6BFB81B5238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02A-49C3-930A-6BFB81B52388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02A-49C3-930A-6BFB81B52388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02A-49C3-930A-6BFB81B52388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02A-49C3-930A-6BFB81B52388}"/>
              </c:ext>
            </c:extLst>
          </c:dPt>
          <c:cat>
            <c:strRef>
              <c:f>'viaj entrados lugar residencia'!$M$11:$M$23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entrados lugar residencia'!$T$11:$T$23</c:f>
              <c:numCache>
                <c:formatCode>0.0%</c:formatCode>
                <c:ptCount val="13"/>
                <c:pt idx="0">
                  <c:v>1</c:v>
                </c:pt>
                <c:pt idx="1">
                  <c:v>6.5318319618882639E-2</c:v>
                </c:pt>
                <c:pt idx="2">
                  <c:v>2.3733217843222174E-2</c:v>
                </c:pt>
                <c:pt idx="3">
                  <c:v>4.1585101775660459E-2</c:v>
                </c:pt>
                <c:pt idx="4">
                  <c:v>0.93468168038111732</c:v>
                </c:pt>
                <c:pt idx="5">
                  <c:v>0.43451710697271545</c:v>
                </c:pt>
                <c:pt idx="6">
                  <c:v>4.4789952360329149E-2</c:v>
                </c:pt>
                <c:pt idx="7">
                  <c:v>1.9159809441316587E-2</c:v>
                </c:pt>
                <c:pt idx="8">
                  <c:v>3.8544824599393679E-2</c:v>
                </c:pt>
                <c:pt idx="9">
                  <c:v>3.6691208315288E-2</c:v>
                </c:pt>
                <c:pt idx="10">
                  <c:v>2.6539627544391511E-2</c:v>
                </c:pt>
                <c:pt idx="11">
                  <c:v>3.610220874837592E-2</c:v>
                </c:pt>
                <c:pt idx="12">
                  <c:v>0.29833694239930708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02A-49C3-930A-6BFB81B52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1825749224955904"/>
          <c:w val="0.95795330741250462"/>
          <c:h val="0.380130115314533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acu'!$V$7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B5-4BFA-823A-5C7DFC2D8AAD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B5-4BFA-823A-5C7DFC2D8AA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EB5-4BFA-823A-5C7DFC2D8AA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EB5-4BFA-823A-5C7DFC2D8AA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EB5-4BFA-823A-5C7DFC2D8AA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EB5-4BFA-823A-5C7DFC2D8AA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EB5-4BFA-823A-5C7DFC2D8AA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EB5-4BFA-823A-5C7DFC2D8A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acu'!$V$9:$V$10,'viaj entrados lugar residen acu'!$V$13:$V$21)</c:f>
              <c:numCache>
                <c:formatCode>#,##0</c:formatCode>
                <c:ptCount val="11"/>
                <c:pt idx="0">
                  <c:v>1421549</c:v>
                </c:pt>
                <c:pt idx="1">
                  <c:v>118257</c:v>
                </c:pt>
                <c:pt idx="2">
                  <c:v>1303292</c:v>
                </c:pt>
                <c:pt idx="3">
                  <c:v>687259</c:v>
                </c:pt>
                <c:pt idx="4">
                  <c:v>50301</c:v>
                </c:pt>
                <c:pt idx="5">
                  <c:v>32407</c:v>
                </c:pt>
                <c:pt idx="6">
                  <c:v>53524</c:v>
                </c:pt>
                <c:pt idx="7">
                  <c:v>41189</c:v>
                </c:pt>
                <c:pt idx="8">
                  <c:v>22481</c:v>
                </c:pt>
                <c:pt idx="9">
                  <c:v>20288</c:v>
                </c:pt>
                <c:pt idx="10">
                  <c:v>395843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B5-4BFA-823A-5C7DFC2D8AAD}"/>
            </c:ext>
          </c:extLst>
        </c:ser>
        <c:ser>
          <c:idx val="1"/>
          <c:order val="1"/>
          <c:tx>
            <c:strRef>
              <c:f>'viaj entrados lugar residen acu'!$W$7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acu'!$W$9:$W$10,'viaj entrados lugar residen acu'!$W$13:$W$21)</c:f>
              <c:numCache>
                <c:formatCode>0.0%</c:formatCode>
                <c:ptCount val="11"/>
                <c:pt idx="0">
                  <c:v>2.4322036035581585E-2</c:v>
                </c:pt>
                <c:pt idx="1">
                  <c:v>3.1622932514481228E-2</c:v>
                </c:pt>
                <c:pt idx="2">
                  <c:v>2.3664683940705089E-2</c:v>
                </c:pt>
                <c:pt idx="3">
                  <c:v>5.2775465844414615E-3</c:v>
                </c:pt>
                <c:pt idx="4">
                  <c:v>0.13033414979438662</c:v>
                </c:pt>
                <c:pt idx="5">
                  <c:v>0.11371915595573578</c:v>
                </c:pt>
                <c:pt idx="6">
                  <c:v>-7.5546651006943244E-2</c:v>
                </c:pt>
                <c:pt idx="7">
                  <c:v>-7.7162637510362342E-2</c:v>
                </c:pt>
                <c:pt idx="8">
                  <c:v>1.1791709797920769E-2</c:v>
                </c:pt>
                <c:pt idx="9">
                  <c:v>-0.17978572872447951</c:v>
                </c:pt>
                <c:pt idx="10">
                  <c:v>8.0274978986321965E-2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B5-4BFA-823A-5C7DFC2D8AAD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EB5-4BFA-823A-5C7DFC2D8AAD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EB5-4BFA-823A-5C7DFC2D8AAD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EB5-4BFA-823A-5C7DFC2D8AAD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EB5-4BFA-823A-5C7DFC2D8AAD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EB5-4BFA-823A-5C7DFC2D8AAD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EB5-4BFA-823A-5C7DFC2D8AAD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EB5-4BFA-823A-5C7DFC2D8AAD}"/>
              </c:ext>
            </c:extLst>
          </c:dPt>
          <c:cat>
            <c:strRef>
              <c:f>('viaj entrados lugar residen acu'!$P$9:$P$10,'viaj entrados lugar residen acu'!$P$13:$P$21)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acu'!$Y$9:$Y$10,'viaj entrados lugar residen acu'!$Y$13:$Y$21)</c:f>
              <c:numCache>
                <c:formatCode>0.0%</c:formatCode>
                <c:ptCount val="11"/>
                <c:pt idx="0">
                  <c:v>1</c:v>
                </c:pt>
                <c:pt idx="1">
                  <c:v>8.3188831338209229E-2</c:v>
                </c:pt>
                <c:pt idx="2">
                  <c:v>0.9168111686617908</c:v>
                </c:pt>
                <c:pt idx="3">
                  <c:v>0.48345783367298628</c:v>
                </c:pt>
                <c:pt idx="4">
                  <c:v>3.5384640276205748E-2</c:v>
                </c:pt>
                <c:pt idx="5">
                  <c:v>2.2796963031172335E-2</c:v>
                </c:pt>
                <c:pt idx="6">
                  <c:v>3.7651885372927699E-2</c:v>
                </c:pt>
                <c:pt idx="7">
                  <c:v>2.897473108559747E-2</c:v>
                </c:pt>
                <c:pt idx="8">
                  <c:v>1.5814439037978995E-2</c:v>
                </c:pt>
                <c:pt idx="9">
                  <c:v>1.4271755669343793E-2</c:v>
                </c:pt>
                <c:pt idx="10">
                  <c:v>0.27845892051557841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EB5-4BFA-823A-5C7DFC2D8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0632289384879521"/>
          <c:w val="0.95795330741250462"/>
          <c:h val="0.3849039546748385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hot'!$T$7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0E-4BFD-A098-AE29CD8E45EB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0E-4BFD-A098-AE29CD8E45E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80E-4BFD-A098-AE29CD8E45E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80E-4BFD-A098-AE29CD8E45E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80E-4BFD-A098-AE29CD8E45E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80E-4BFD-A098-AE29CD8E45E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80E-4BFD-A098-AE29CD8E45E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80E-4BFD-A098-AE29CD8E45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hot'!$T$9:$T$10,'viaj entrados lugar residen hot'!$T$13:$T$21)</c:f>
              <c:numCache>
                <c:formatCode>#,##0</c:formatCode>
                <c:ptCount val="11"/>
                <c:pt idx="0">
                  <c:v>876767</c:v>
                </c:pt>
                <c:pt idx="1">
                  <c:v>79976</c:v>
                </c:pt>
                <c:pt idx="2">
                  <c:v>796791</c:v>
                </c:pt>
                <c:pt idx="3">
                  <c:v>408387</c:v>
                </c:pt>
                <c:pt idx="4">
                  <c:v>34569</c:v>
                </c:pt>
                <c:pt idx="5">
                  <c:v>22178</c:v>
                </c:pt>
                <c:pt idx="6">
                  <c:v>28689</c:v>
                </c:pt>
                <c:pt idx="7">
                  <c:v>32562</c:v>
                </c:pt>
                <c:pt idx="8">
                  <c:v>9979</c:v>
                </c:pt>
                <c:pt idx="9">
                  <c:v>7799</c:v>
                </c:pt>
                <c:pt idx="10">
                  <c:v>252628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80E-4BFD-A098-AE29CD8E45EB}"/>
            </c:ext>
          </c:extLst>
        </c:ser>
        <c:ser>
          <c:idx val="1"/>
          <c:order val="1"/>
          <c:tx>
            <c:strRef>
              <c:f>'viaj entrados lugar residen hot'!$U$7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hot'!$U$9:$U$10,'viaj entrados lugar residen hot'!$U$13:$U$21)</c:f>
              <c:numCache>
                <c:formatCode>0.0%</c:formatCode>
                <c:ptCount val="11"/>
                <c:pt idx="0">
                  <c:v>1.7793482765465773E-2</c:v>
                </c:pt>
                <c:pt idx="1">
                  <c:v>-9.9407024102798891E-3</c:v>
                </c:pt>
                <c:pt idx="2">
                  <c:v>2.0663284912766144E-2</c:v>
                </c:pt>
                <c:pt idx="3">
                  <c:v>-1.1313126422311526E-2</c:v>
                </c:pt>
                <c:pt idx="4">
                  <c:v>9.8823903369357868E-2</c:v>
                </c:pt>
                <c:pt idx="5">
                  <c:v>0.13083826228839479</c:v>
                </c:pt>
                <c:pt idx="6">
                  <c:v>-0.10842811859034118</c:v>
                </c:pt>
                <c:pt idx="7">
                  <c:v>-8.2760563380281704E-2</c:v>
                </c:pt>
                <c:pt idx="8">
                  <c:v>0.15591335572802034</c:v>
                </c:pt>
                <c:pt idx="9">
                  <c:v>-7.4961451785078848E-2</c:v>
                </c:pt>
                <c:pt idx="10">
                  <c:v>8.9919149560370393E-2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80E-4BFD-A098-AE29CD8E45EB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0E-4BFD-A098-AE29CD8E45EB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0E-4BFD-A098-AE29CD8E45EB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0E-4BFD-A098-AE29CD8E45EB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0E-4BFD-A098-AE29CD8E45EB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0E-4BFD-A098-AE29CD8E45EB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80E-4BFD-A098-AE29CD8E45EB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0E-4BFD-A098-AE29CD8E45EB}"/>
              </c:ext>
            </c:extLst>
          </c:dPt>
          <c:cat>
            <c:strRef>
              <c:f>('viaj entrados lugar residen hot'!$N$9:$N$10,'viaj entrados lugar residen hot'!$N$13:$N$21)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hot'!$W$9:$W$10,'viaj entrados lugar residen hot'!$W$13:$W$21)</c:f>
              <c:numCache>
                <c:formatCode>0.0%</c:formatCode>
                <c:ptCount val="11"/>
                <c:pt idx="0">
                  <c:v>1</c:v>
                </c:pt>
                <c:pt idx="1">
                  <c:v>9.1216936768833676E-2</c:v>
                </c:pt>
                <c:pt idx="2">
                  <c:v>0.90878306323116631</c:v>
                </c:pt>
                <c:pt idx="3">
                  <c:v>0.4657873756653706</c:v>
                </c:pt>
                <c:pt idx="4">
                  <c:v>3.9427806931602125E-2</c:v>
                </c:pt>
                <c:pt idx="5">
                  <c:v>2.5295203856896986E-2</c:v>
                </c:pt>
                <c:pt idx="6">
                  <c:v>3.2721350142055988E-2</c:v>
                </c:pt>
                <c:pt idx="7">
                  <c:v>3.713871530292541E-2</c:v>
                </c:pt>
                <c:pt idx="8">
                  <c:v>1.1381587126340293E-2</c:v>
                </c:pt>
                <c:pt idx="9">
                  <c:v>8.8951796771548197E-3</c:v>
                </c:pt>
                <c:pt idx="10">
                  <c:v>0.28813584452882007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80E-4BFD-A098-AE29CD8E4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442828298014062"/>
          <c:y val="0.23973976937093389"/>
          <c:w val="0.95795330741250462"/>
          <c:h val="0.3419394004320888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entrados lugar residen apt'!$T$7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5A-4E0F-B02E-E7E51BC77807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5A-4E0F-B02E-E7E51BC7780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15A-4E0F-B02E-E7E51BC7780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15A-4E0F-B02E-E7E51BC7780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15A-4E0F-B02E-E7E51BC7780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15A-4E0F-B02E-E7E51BC7780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15A-4E0F-B02E-E7E51BC7780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315A-4E0F-B02E-E7E51BC778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apt'!$T$9:$T$10,'viaj entrados lugar residen apt'!$T$13:$T$21)</c:f>
              <c:numCache>
                <c:formatCode>#,##0</c:formatCode>
                <c:ptCount val="11"/>
                <c:pt idx="0">
                  <c:v>544782</c:v>
                </c:pt>
                <c:pt idx="1">
                  <c:v>38281</c:v>
                </c:pt>
                <c:pt idx="2">
                  <c:v>506501</c:v>
                </c:pt>
                <c:pt idx="3">
                  <c:v>278872</c:v>
                </c:pt>
                <c:pt idx="4">
                  <c:v>15732</c:v>
                </c:pt>
                <c:pt idx="5">
                  <c:v>10229</c:v>
                </c:pt>
                <c:pt idx="6">
                  <c:v>24835</c:v>
                </c:pt>
                <c:pt idx="7">
                  <c:v>8627</c:v>
                </c:pt>
                <c:pt idx="8">
                  <c:v>12502</c:v>
                </c:pt>
                <c:pt idx="9">
                  <c:v>12489</c:v>
                </c:pt>
                <c:pt idx="10">
                  <c:v>143215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15A-4E0F-B02E-E7E51BC77807}"/>
            </c:ext>
          </c:extLst>
        </c:ser>
        <c:ser>
          <c:idx val="1"/>
          <c:order val="1"/>
          <c:tx>
            <c:strRef>
              <c:f>'viaj entrados lugar residen apt'!$U$7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apt'!$U$9:$U$10,'viaj entrados lugar residen apt'!$U$13:$U$21)</c:f>
              <c:numCache>
                <c:formatCode>0.0%</c:formatCode>
                <c:ptCount val="11"/>
                <c:pt idx="0">
                  <c:v>3.5006725486172785E-2</c:v>
                </c:pt>
                <c:pt idx="1">
                  <c:v>0.1308008152896345</c:v>
                </c:pt>
                <c:pt idx="2">
                  <c:v>2.842216189546054E-2</c:v>
                </c:pt>
                <c:pt idx="3">
                  <c:v>3.0603382965434855E-2</c:v>
                </c:pt>
                <c:pt idx="4">
                  <c:v>0.20634920634920628</c:v>
                </c:pt>
                <c:pt idx="5">
                  <c:v>7.8325954037528955E-2</c:v>
                </c:pt>
                <c:pt idx="6">
                  <c:v>-3.4409020217729402E-2</c:v>
                </c:pt>
                <c:pt idx="7">
                  <c:v>-5.5403481878900651E-2</c:v>
                </c:pt>
                <c:pt idx="8">
                  <c:v>-7.9788017076402151E-2</c:v>
                </c:pt>
                <c:pt idx="9">
                  <c:v>-0.23399165848871439</c:v>
                </c:pt>
                <c:pt idx="10">
                  <c:v>6.3672553883632244E-2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15A-4E0F-B02E-E7E51BC77807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15A-4E0F-B02E-E7E51BC77807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15A-4E0F-B02E-E7E51BC77807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15A-4E0F-B02E-E7E51BC77807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15A-4E0F-B02E-E7E51BC77807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15A-4E0F-B02E-E7E51BC77807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15A-4E0F-B02E-E7E51BC77807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15A-4E0F-B02E-E7E51BC77807}"/>
              </c:ext>
            </c:extLst>
          </c:dPt>
          <c:cat>
            <c:strRef>
              <c:f>('viaj entrados lugar residen apt'!$N$9:$N$10,'viaj entrados lugar residen apt'!$N$13:$N$21)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entrados lugar residen apt'!$W$9:$W$10,'viaj entrados lugar residen apt'!$W$13:$W$21)</c:f>
              <c:numCache>
                <c:formatCode>0.0%</c:formatCode>
                <c:ptCount val="11"/>
                <c:pt idx="0">
                  <c:v>1</c:v>
                </c:pt>
                <c:pt idx="1">
                  <c:v>7.0268474362221958E-2</c:v>
                </c:pt>
                <c:pt idx="2">
                  <c:v>0.92973152563777806</c:v>
                </c:pt>
                <c:pt idx="3">
                  <c:v>0.51189650171995404</c:v>
                </c:pt>
                <c:pt idx="4">
                  <c:v>2.8877606088306883E-2</c:v>
                </c:pt>
                <c:pt idx="5">
                  <c:v>1.8776317866596181E-2</c:v>
                </c:pt>
                <c:pt idx="6">
                  <c:v>4.5587042156312069E-2</c:v>
                </c:pt>
                <c:pt idx="7">
                  <c:v>1.5835692074995137E-2</c:v>
                </c:pt>
                <c:pt idx="8">
                  <c:v>2.2948628992881557E-2</c:v>
                </c:pt>
                <c:pt idx="9">
                  <c:v>2.2924766236769936E-2</c:v>
                </c:pt>
                <c:pt idx="10">
                  <c:v>0.26288497050196225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15A-4E0F-B02E-E7E51BC77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958193173347365"/>
          <c:y val="0.16568511642811568"/>
          <c:w val="0.95795330741250462"/>
          <c:h val="0.513800248653128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residen mes'!$P$8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2B-45E2-B324-C225BC787097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2B-45E2-B324-C225BC78709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52B-45E2-B324-C225BC78709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52B-45E2-B324-C225BC78709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52B-45E2-B324-C225BC78709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52B-45E2-B324-C225BC78709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52B-45E2-B324-C225BC78709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52B-45E2-B324-C225BC7870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mes'!$P$10,'viaj aloj lugar residen mes'!$P$11,'viaj aloj lugar residen mes'!$P$14:$P$22)</c:f>
              <c:numCache>
                <c:formatCode>#,##0</c:formatCode>
                <c:ptCount val="11"/>
                <c:pt idx="0">
                  <c:v>131894</c:v>
                </c:pt>
                <c:pt idx="1">
                  <c:v>8427</c:v>
                </c:pt>
                <c:pt idx="2">
                  <c:v>123467</c:v>
                </c:pt>
                <c:pt idx="3">
                  <c:v>55486</c:v>
                </c:pt>
                <c:pt idx="4">
                  <c:v>6862</c:v>
                </c:pt>
                <c:pt idx="5">
                  <c:v>3318</c:v>
                </c:pt>
                <c:pt idx="6">
                  <c:v>4898</c:v>
                </c:pt>
                <c:pt idx="7">
                  <c:v>4709</c:v>
                </c:pt>
                <c:pt idx="8">
                  <c:v>3175</c:v>
                </c:pt>
                <c:pt idx="9">
                  <c:v>4146</c:v>
                </c:pt>
                <c:pt idx="10">
                  <c:v>40873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2B-45E2-B324-C225BC787097}"/>
            </c:ext>
          </c:extLst>
        </c:ser>
        <c:ser>
          <c:idx val="1"/>
          <c:order val="1"/>
          <c:tx>
            <c:strRef>
              <c:f>'viaj aloj lugar residen mes'!$Q$8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mes'!$Q$10,'viaj aloj lugar residen mes'!$Q$11,'viaj aloj lugar residen mes'!$Q$14:$Q$22)</c:f>
              <c:numCache>
                <c:formatCode>0.0%</c:formatCode>
                <c:ptCount val="11"/>
                <c:pt idx="0">
                  <c:v>-3.459229980969114E-2</c:v>
                </c:pt>
                <c:pt idx="1">
                  <c:v>5.3686471009306569E-3</c:v>
                </c:pt>
                <c:pt idx="2">
                  <c:v>-3.7204260827523816E-2</c:v>
                </c:pt>
                <c:pt idx="3">
                  <c:v>-6.5152561791316344E-2</c:v>
                </c:pt>
                <c:pt idx="4">
                  <c:v>8.1481481481481488E-2</c:v>
                </c:pt>
                <c:pt idx="5">
                  <c:v>0.2074235807860263</c:v>
                </c:pt>
                <c:pt idx="6">
                  <c:v>-8.2771535580524302E-2</c:v>
                </c:pt>
                <c:pt idx="7">
                  <c:v>-0.11783439490445857</c:v>
                </c:pt>
                <c:pt idx="8">
                  <c:v>-0.12774725274725274</c:v>
                </c:pt>
                <c:pt idx="9">
                  <c:v>-0.13786650031191516</c:v>
                </c:pt>
                <c:pt idx="10">
                  <c:v>5.1149637280216709E-3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52B-45E2-B324-C225BC787097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52B-45E2-B324-C225BC787097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52B-45E2-B324-C225BC787097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52B-45E2-B324-C225BC787097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52B-45E2-B324-C225BC787097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52B-45E2-B324-C225BC787097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52B-45E2-B324-C225BC787097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52B-45E2-B324-C225BC787097}"/>
              </c:ext>
            </c:extLst>
          </c:dPt>
          <c:cat>
            <c:strRef>
              <c:f>('viaj aloj lugar residen mes'!$K$10,'viaj aloj lugar residen mes'!$K$11,'viaj aloj lugar residen mes'!$K$14:$K$22)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residen mes'!$R$10:$R$11,'viaj aloj lugar residen mes'!$R$14:$R$22)</c:f>
              <c:numCache>
                <c:formatCode>0.0%</c:formatCode>
                <c:ptCount val="11"/>
                <c:pt idx="0">
                  <c:v>1</c:v>
                </c:pt>
                <c:pt idx="1">
                  <c:v>6.3892216476867783E-2</c:v>
                </c:pt>
                <c:pt idx="2">
                  <c:v>0.93610778352313218</c:v>
                </c:pt>
                <c:pt idx="3">
                  <c:v>0.42068630870244289</c:v>
                </c:pt>
                <c:pt idx="4">
                  <c:v>5.202662744324988E-2</c:v>
                </c:pt>
                <c:pt idx="5">
                  <c:v>2.5156565120475535E-2</c:v>
                </c:pt>
                <c:pt idx="6">
                  <c:v>3.7135881844511505E-2</c:v>
                </c:pt>
                <c:pt idx="7">
                  <c:v>3.5702912945243907E-2</c:v>
                </c:pt>
                <c:pt idx="8">
                  <c:v>2.4072361138490001E-2</c:v>
                </c:pt>
                <c:pt idx="9">
                  <c:v>3.1434333631552611E-2</c:v>
                </c:pt>
                <c:pt idx="10">
                  <c:v>0.30989279269716591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52B-45E2-B324-C225BC787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551459596079018"/>
          <c:y val="0.19048427217274536"/>
          <c:w val="0.82247339202719794"/>
          <c:h val="0.409531703273932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alojados lugar residen acu'!$U$7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77-4CE9-9939-E1985E3B5850}"/>
              </c:ext>
            </c:extLst>
          </c:dPt>
          <c:dPt>
            <c:idx val="4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77-4CE9-9939-E1985E3B585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577-4CE9-9939-E1985E3B585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577-4CE9-9939-E1985E3B585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577-4CE9-9939-E1985E3B585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577-4CE9-9939-E1985E3B585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577-4CE9-9939-E1985E3B585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577-4CE9-9939-E1985E3B58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acu'!$U$9:$U$21</c:f>
              <c:numCache>
                <c:formatCode>#,##0</c:formatCode>
                <c:ptCount val="13"/>
                <c:pt idx="0">
                  <c:v>1697029</c:v>
                </c:pt>
                <c:pt idx="1">
                  <c:v>131945</c:v>
                </c:pt>
                <c:pt idx="2">
                  <c:v>56229</c:v>
                </c:pt>
                <c:pt idx="3">
                  <c:v>75716</c:v>
                </c:pt>
                <c:pt idx="4">
                  <c:v>1565084</c:v>
                </c:pt>
                <c:pt idx="5">
                  <c:v>822798</c:v>
                </c:pt>
                <c:pt idx="6">
                  <c:v>60212</c:v>
                </c:pt>
                <c:pt idx="7">
                  <c:v>38781</c:v>
                </c:pt>
                <c:pt idx="8">
                  <c:v>66342</c:v>
                </c:pt>
                <c:pt idx="9">
                  <c:v>50966</c:v>
                </c:pt>
                <c:pt idx="10">
                  <c:v>27544</c:v>
                </c:pt>
                <c:pt idx="11">
                  <c:v>26153</c:v>
                </c:pt>
                <c:pt idx="12">
                  <c:v>472288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577-4CE9-9939-E1985E3B5850}"/>
            </c:ext>
          </c:extLst>
        </c:ser>
        <c:ser>
          <c:idx val="1"/>
          <c:order val="1"/>
          <c:tx>
            <c:strRef>
              <c:f>'viaj alojados lugar residen acu'!$V$7</c:f>
              <c:strCache>
                <c:ptCount val="1"/>
                <c:pt idx="0">
                  <c:v>var. 25/24</c:v>
                </c:pt>
              </c:strCache>
            </c:strRef>
          </c:tx>
          <c:invertIfNegative val="0"/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acu'!$V$9:$V$21</c:f>
              <c:numCache>
                <c:formatCode>0.0%</c:formatCode>
                <c:ptCount val="13"/>
                <c:pt idx="0">
                  <c:v>2.3970269769619579E-2</c:v>
                </c:pt>
                <c:pt idx="1">
                  <c:v>2.7408993576017116E-2</c:v>
                </c:pt>
                <c:pt idx="2">
                  <c:v>2.8357410379882264E-3</c:v>
                </c:pt>
                <c:pt idx="3">
                  <c:v>4.6451523737129463E-2</c:v>
                </c:pt>
                <c:pt idx="4">
                  <c:v>2.3681418661266607E-2</c:v>
                </c:pt>
                <c:pt idx="5">
                  <c:v>9.8568056880066202E-3</c:v>
                </c:pt>
                <c:pt idx="6">
                  <c:v>0.11377887941399534</c:v>
                </c:pt>
                <c:pt idx="7">
                  <c:v>9.13772724714359E-2</c:v>
                </c:pt>
                <c:pt idx="8">
                  <c:v>-7.1425572118412717E-2</c:v>
                </c:pt>
                <c:pt idx="9">
                  <c:v>-8.382318574844061E-2</c:v>
                </c:pt>
                <c:pt idx="10">
                  <c:v>1.1977367918289294E-2</c:v>
                </c:pt>
                <c:pt idx="11">
                  <c:v>-0.15239021228326044</c:v>
                </c:pt>
                <c:pt idx="12">
                  <c:v>7.4923355994619634E-2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577-4CE9-9939-E1985E3B5850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577-4CE9-9939-E1985E3B5850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577-4CE9-9939-E1985E3B5850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577-4CE9-9939-E1985E3B5850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577-4CE9-9939-E1985E3B5850}"/>
              </c:ext>
            </c:extLst>
          </c:dPt>
          <c:dPt>
            <c:idx val="8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577-4CE9-9939-E1985E3B5850}"/>
              </c:ext>
            </c:extLst>
          </c:dPt>
          <c:dPt>
            <c:idx val="9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577-4CE9-9939-E1985E3B5850}"/>
              </c:ext>
            </c:extLst>
          </c:dPt>
          <c:dPt>
            <c:idx val="12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577-4CE9-9939-E1985E3B5850}"/>
              </c:ext>
            </c:extLst>
          </c:dPt>
          <c:cat>
            <c:strRef>
              <c:f>'viaj alojados lugar residen acu'!$O$9:$O$21</c:f>
              <c:strCache>
                <c:ptCount val="13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Canarias</c:v>
                </c:pt>
                <c:pt idx="3">
                  <c:v>Península</c:v>
                </c:pt>
                <c:pt idx="4">
                  <c:v>Total residentes en el extranjero</c:v>
                </c:pt>
                <c:pt idx="5">
                  <c:v>Reino Unido</c:v>
                </c:pt>
                <c:pt idx="6">
                  <c:v>Alemania</c:v>
                </c:pt>
                <c:pt idx="7">
                  <c:v>Francia</c:v>
                </c:pt>
                <c:pt idx="8">
                  <c:v>Países Bajos</c:v>
                </c:pt>
                <c:pt idx="9">
                  <c:v>Bélgica</c:v>
                </c:pt>
                <c:pt idx="10">
                  <c:v>Dinamarca</c:v>
                </c:pt>
                <c:pt idx="11">
                  <c:v>Suecia</c:v>
                </c:pt>
                <c:pt idx="12">
                  <c:v>Otros países</c:v>
                </c:pt>
              </c:strCache>
            </c:strRef>
          </c:cat>
          <c:val>
            <c:numRef>
              <c:f>'viaj alojados lugar residen acu'!$X$9:$X$21</c:f>
              <c:numCache>
                <c:formatCode>0.0%</c:formatCode>
                <c:ptCount val="13"/>
                <c:pt idx="0">
                  <c:v>1</c:v>
                </c:pt>
                <c:pt idx="1">
                  <c:v>7.7750586466112243E-2</c:v>
                </c:pt>
                <c:pt idx="2">
                  <c:v>3.3133788520997576E-2</c:v>
                </c:pt>
                <c:pt idx="3">
                  <c:v>4.4616797945114667E-2</c:v>
                </c:pt>
                <c:pt idx="4">
                  <c:v>0.92224941353388779</c:v>
                </c:pt>
                <c:pt idx="5">
                  <c:v>0.48484616350103621</c:v>
                </c:pt>
                <c:pt idx="6">
                  <c:v>3.5480831500227752E-2</c:v>
                </c:pt>
                <c:pt idx="7">
                  <c:v>2.2852290679770352E-2</c:v>
                </c:pt>
                <c:pt idx="8">
                  <c:v>3.9093026695477803E-2</c:v>
                </c:pt>
                <c:pt idx="9">
                  <c:v>3.0032486186152386E-2</c:v>
                </c:pt>
                <c:pt idx="10">
                  <c:v>1.623071850864069E-2</c:v>
                </c:pt>
                <c:pt idx="11">
                  <c:v>1.5411050724530931E-2</c:v>
                </c:pt>
                <c:pt idx="12">
                  <c:v>0.27830284573805164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577-4CE9-9939-E1985E3B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372732290890549E-2"/>
          <c:y val="0.28154949862036477"/>
          <c:w val="0.95795330741250462"/>
          <c:h val="0.3969467662696008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'viaj aloj lugar resid año'!$T$6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71CE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12-4653-95AA-41E04DFD20F8}"/>
              </c:ext>
            </c:extLst>
          </c:dPt>
          <c:dPt>
            <c:idx val="2"/>
            <c:invertIfNegative val="0"/>
            <c:bubble3D val="0"/>
            <c:spPr>
              <a:solidFill>
                <a:srgbClr val="0047BA">
                  <a:lumMod val="40000"/>
                  <a:lumOff val="6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112-4653-95AA-41E04DFD20F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112-4653-95AA-41E04DFD20F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112-4653-95AA-41E04DFD20F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112-4653-95AA-41E04DFD20F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112-4653-95AA-41E04DFD20F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112-4653-95AA-41E04DFD20F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112-4653-95AA-41E04DFD20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accent2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año'!$T$8:$T$9,'viaj aloj lugar resid año'!$T$12:$T$20)</c:f>
              <c:numCache>
                <c:formatCode>#,##0</c:formatCode>
                <c:ptCount val="11"/>
                <c:pt idx="0">
                  <c:v>1414199</c:v>
                </c:pt>
                <c:pt idx="1">
                  <c:v>115725</c:v>
                </c:pt>
                <c:pt idx="2">
                  <c:v>1298474</c:v>
                </c:pt>
                <c:pt idx="3">
                  <c:v>696169</c:v>
                </c:pt>
                <c:pt idx="4">
                  <c:v>45371</c:v>
                </c:pt>
                <c:pt idx="5">
                  <c:v>29531</c:v>
                </c:pt>
                <c:pt idx="6">
                  <c:v>58857</c:v>
                </c:pt>
                <c:pt idx="7">
                  <c:v>45571</c:v>
                </c:pt>
                <c:pt idx="8">
                  <c:v>22838</c:v>
                </c:pt>
                <c:pt idx="9">
                  <c:v>25911</c:v>
                </c:pt>
                <c:pt idx="10">
                  <c:v>374226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112-4653-95AA-41E04DFD20F8}"/>
            </c:ext>
          </c:extLst>
        </c:ser>
        <c:ser>
          <c:idx val="1"/>
          <c:order val="1"/>
          <c:tx>
            <c:strRef>
              <c:f>'viaj aloj lugar resid año'!$U$6</c:f>
              <c:strCache>
                <c:ptCount val="1"/>
                <c:pt idx="0">
                  <c:v>var. 24/23</c:v>
                </c:pt>
              </c:strCache>
            </c:strRef>
          </c:tx>
          <c:invertIfNegative val="0"/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año'!$U$8:$U$9,'viaj aloj lugar resid año'!$U$12:$U$20)</c:f>
              <c:numCache>
                <c:formatCode>0.0%</c:formatCode>
                <c:ptCount val="11"/>
                <c:pt idx="0">
                  <c:v>5.0294917555281149E-2</c:v>
                </c:pt>
                <c:pt idx="1">
                  <c:v>-4.113845389013171E-2</c:v>
                </c:pt>
                <c:pt idx="2">
                  <c:v>5.9297366265618434E-2</c:v>
                </c:pt>
                <c:pt idx="3">
                  <c:v>7.5629615895676849E-2</c:v>
                </c:pt>
                <c:pt idx="4">
                  <c:v>-1.6112243570282292E-2</c:v>
                </c:pt>
                <c:pt idx="5">
                  <c:v>1.0297639411563475E-2</c:v>
                </c:pt>
                <c:pt idx="6">
                  <c:v>4.3989570214803875E-2</c:v>
                </c:pt>
                <c:pt idx="7">
                  <c:v>1.0421054965521925E-2</c:v>
                </c:pt>
                <c:pt idx="8">
                  <c:v>-4.2311401853482589E-2</c:v>
                </c:pt>
                <c:pt idx="9">
                  <c:v>-4.9381810177202223E-2</c:v>
                </c:pt>
                <c:pt idx="10">
                  <c:v>6.7259484032146766E-2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112-4653-95AA-41E04DFD20F8}"/>
            </c:ext>
          </c:extLst>
        </c:ser>
        <c:ser>
          <c:idx val="0"/>
          <c:order val="2"/>
          <c:tx>
            <c:v>cuota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112-4653-95AA-41E04DFD20F8}"/>
              </c:ext>
            </c:extLst>
          </c:dPt>
          <c:dPt>
            <c:idx val="3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112-4653-95AA-41E04DFD20F8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112-4653-95AA-41E04DFD20F8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112-4653-95AA-41E04DFD20F8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112-4653-95AA-41E04DFD20F8}"/>
              </c:ext>
            </c:extLst>
          </c:dPt>
          <c:dPt>
            <c:idx val="7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112-4653-95AA-41E04DFD20F8}"/>
              </c:ext>
            </c:extLst>
          </c:dPt>
          <c:dPt>
            <c:idx val="1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112-4653-95AA-41E04DFD20F8}"/>
              </c:ext>
            </c:extLst>
          </c:dPt>
          <c:cat>
            <c:strRef>
              <c:f>('viaj aloj lugar resid año'!$N$8:$N$9,'viaj aloj lugar resid año'!$N$12:$N$20)</c:f>
              <c:strCache>
                <c:ptCount val="11"/>
                <c:pt idx="0">
                  <c:v>Total lugares de residencia</c:v>
                </c:pt>
                <c:pt idx="1">
                  <c:v>Total residentes en España</c:v>
                </c:pt>
                <c:pt idx="2">
                  <c:v>Total residentes en el extranjero</c:v>
                </c:pt>
                <c:pt idx="3">
                  <c:v>Reino Unido</c:v>
                </c:pt>
                <c:pt idx="4">
                  <c:v>Alemania</c:v>
                </c:pt>
                <c:pt idx="5">
                  <c:v>Francia</c:v>
                </c:pt>
                <c:pt idx="6">
                  <c:v>Países Bajos</c:v>
                </c:pt>
                <c:pt idx="7">
                  <c:v>Bélgica</c:v>
                </c:pt>
                <c:pt idx="8">
                  <c:v>Dinamarca</c:v>
                </c:pt>
                <c:pt idx="9">
                  <c:v>Suecia</c:v>
                </c:pt>
                <c:pt idx="10">
                  <c:v>Otros países</c:v>
                </c:pt>
              </c:strCache>
            </c:strRef>
          </c:cat>
          <c:val>
            <c:numRef>
              <c:f>('viaj aloj lugar resid año'!$W$8:$W$9,'viaj aloj lugar resid año'!$W$12:$W$20)</c:f>
              <c:numCache>
                <c:formatCode>0.0%</c:formatCode>
                <c:ptCount val="11"/>
                <c:pt idx="0">
                  <c:v>1</c:v>
                </c:pt>
                <c:pt idx="1">
                  <c:v>8.1830774876803056E-2</c:v>
                </c:pt>
                <c:pt idx="2">
                  <c:v>0.91816922512319699</c:v>
                </c:pt>
                <c:pt idx="3">
                  <c:v>0.49227088974041133</c:v>
                </c:pt>
                <c:pt idx="4">
                  <c:v>3.2082472127331445E-2</c:v>
                </c:pt>
                <c:pt idx="5">
                  <c:v>2.0881785378153994E-2</c:v>
                </c:pt>
                <c:pt idx="6">
                  <c:v>4.1618612373506135E-2</c:v>
                </c:pt>
                <c:pt idx="7">
                  <c:v>3.2223894939821057E-2</c:v>
                </c:pt>
                <c:pt idx="8">
                  <c:v>1.6149070958189054E-2</c:v>
                </c:pt>
                <c:pt idx="9">
                  <c:v>1.8322032472091975E-2</c:v>
                </c:pt>
                <c:pt idx="10">
                  <c:v>0.26462046713369192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112-4653-95AA-41E04DFD2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90"/>
        <c:axId val="1028800960"/>
        <c:axId val="1028781376"/>
      </c:barChart>
      <c:catAx>
        <c:axId val="102880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028781376"/>
        <c:crosses val="autoZero"/>
        <c:auto val="1"/>
        <c:lblAlgn val="ctr"/>
        <c:lblOffset val="1000"/>
        <c:noMultiLvlLbl val="0"/>
      </c:catAx>
      <c:valAx>
        <c:axId val="1028781376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800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1">
                    <a:lumMod val="75000"/>
                  </a:schemeClr>
                </a:solidFill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0.52640072965383577"/>
          <c:y val="8.3648622634156414E-2"/>
          <c:w val="0.4535126232430115"/>
          <c:h val="4.5455051334130935E-2"/>
        </c:manualLayout>
      </c:layout>
      <c:overlay val="0"/>
      <c:spPr>
        <a:noFill/>
        <a:ln w="3175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B1-44AF-A9CC-E52E40B28C68}"/>
              </c:ext>
            </c:extLst>
          </c:dPt>
          <c:val>
            <c:numRef>
              <c:f>'Viajeros entr evol mensu TF'!$I$53:$I$65</c:f>
              <c:numCache>
                <c:formatCode>#,##0</c:formatCode>
                <c:ptCount val="13"/>
                <c:pt idx="0">
                  <c:v>4265</c:v>
                </c:pt>
                <c:pt idx="1">
                  <c:v>2830</c:v>
                </c:pt>
                <c:pt idx="2">
                  <c:v>4198</c:v>
                </c:pt>
                <c:pt idx="3">
                  <c:v>7014</c:v>
                </c:pt>
                <c:pt idx="4">
                  <c:v>4156</c:v>
                </c:pt>
                <c:pt idx="5">
                  <c:v>6696</c:v>
                </c:pt>
                <c:pt idx="6">
                  <c:v>7433</c:v>
                </c:pt>
                <c:pt idx="7">
                  <c:v>9492</c:v>
                </c:pt>
                <c:pt idx="8">
                  <c:v>6112</c:v>
                </c:pt>
                <c:pt idx="9">
                  <c:v>5748</c:v>
                </c:pt>
                <c:pt idx="10">
                  <c:v>4279</c:v>
                </c:pt>
                <c:pt idx="11">
                  <c:v>4654</c:v>
                </c:pt>
                <c:pt idx="12">
                  <c:v>66877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B1-44AF-A9CC-E52E40B28C68}"/>
            </c:ext>
          </c:extLst>
        </c:ser>
        <c:ser>
          <c:idx val="0"/>
          <c:order val="2"/>
          <c:tx>
            <c:strRef>
              <c:f>'Viajeros entr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B1-44AF-A9CC-E52E40B28C6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TF'!$K$53:$K$65</c:f>
              <c:numCache>
                <c:formatCode>#,##0</c:formatCode>
                <c:ptCount val="13"/>
                <c:pt idx="0">
                  <c:v>3214</c:v>
                </c:pt>
                <c:pt idx="1">
                  <c:v>3176</c:v>
                </c:pt>
                <c:pt idx="2">
                  <c:v>4814</c:v>
                </c:pt>
                <c:pt idx="3">
                  <c:v>4307</c:v>
                </c:pt>
                <c:pt idx="4">
                  <c:v>5457</c:v>
                </c:pt>
                <c:pt idx="5">
                  <c:v>5557</c:v>
                </c:pt>
                <c:pt idx="6">
                  <c:v>7599</c:v>
                </c:pt>
                <c:pt idx="7">
                  <c:v>9450</c:v>
                </c:pt>
                <c:pt idx="8">
                  <c:v>6082</c:v>
                </c:pt>
                <c:pt idx="9">
                  <c:v>5830</c:v>
                </c:pt>
                <c:pt idx="10">
                  <c:v>4123</c:v>
                </c:pt>
                <c:pt idx="11">
                  <c:v>4801</c:v>
                </c:pt>
                <c:pt idx="12">
                  <c:v>64410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B1-44AF-A9CC-E52E40B28C68}"/>
            </c:ext>
          </c:extLst>
        </c:ser>
        <c:ser>
          <c:idx val="1"/>
          <c:order val="3"/>
          <c:tx>
            <c:strRef>
              <c:f>'Viajeros entr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B1-44AF-A9CC-E52E40B28C6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B1-44AF-A9CC-E52E40B28C68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TF'!$M$53:$M$65</c:f>
              <c:numCache>
                <c:formatCode>#,##0</c:formatCode>
                <c:ptCount val="13"/>
                <c:pt idx="0">
                  <c:v>3737</c:v>
                </c:pt>
                <c:pt idx="1">
                  <c:v>3570</c:v>
                </c:pt>
                <c:pt idx="2">
                  <c:v>3719</c:v>
                </c:pt>
                <c:pt idx="3">
                  <c:v>6553</c:v>
                </c:pt>
                <c:pt idx="4">
                  <c:v>5729</c:v>
                </c:pt>
                <c:pt idx="5">
                  <c:v>6008</c:v>
                </c:pt>
                <c:pt idx="6">
                  <c:v>7565</c:v>
                </c:pt>
                <c:pt idx="7">
                  <c:v>8887</c:v>
                </c:pt>
                <c:pt idx="8">
                  <c:v>6213</c:v>
                </c:pt>
                <c:pt idx="9">
                  <c:v>5793</c:v>
                </c:pt>
                <c:pt idx="10">
                  <c:v>4741</c:v>
                </c:pt>
                <c:pt idx="11">
                  <c:v>4334</c:v>
                </c:pt>
                <c:pt idx="12">
                  <c:v>66849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FB1-44AF-A9CC-E52E40B28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FB1-44AF-A9CC-E52E40B28C6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3650</c:v>
                      </c:pt>
                      <c:pt idx="1">
                        <c:v>3952</c:v>
                      </c:pt>
                      <c:pt idx="2">
                        <c:v>1272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6200</c:v>
                      </c:pt>
                      <c:pt idx="8">
                        <c:v>2978</c:v>
                      </c:pt>
                      <c:pt idx="9">
                        <c:v>3362</c:v>
                      </c:pt>
                      <c:pt idx="10">
                        <c:v>1184</c:v>
                      </c:pt>
                      <c:pt idx="11">
                        <c:v>1021</c:v>
                      </c:pt>
                      <c:pt idx="12">
                        <c:v>26848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FB1-44AF-A9CC-E52E40B28C6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FB1-44AF-A9CC-E52E40B28C6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FB1-44AF-A9CC-E52E40B28C6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FB1-44AF-A9CC-E52E40B28C6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FB1-44AF-A9CC-E52E40B28C6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FB1-44AF-A9CC-E52E40B28C6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FB1-44AF-A9CC-E52E40B28C6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FB1-44AF-A9CC-E52E40B28C6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FB1-44AF-A9CC-E52E40B28C6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FB1-44AF-A9CC-E52E40B28C6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FB1-44AF-A9CC-E52E40B28C6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FB1-44AF-A9CC-E52E40B28C6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FB1-44AF-A9CC-E52E40B28C6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FB1-44AF-A9CC-E52E40B28C68}"/>
              </c:ext>
            </c:extLst>
          </c:dPt>
          <c:cat>
            <c:strRef>
              <c:f>'Viajeros entr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TF'!$N$53:$N$65</c:f>
              <c:numCache>
                <c:formatCode>0.0%</c:formatCode>
                <c:ptCount val="13"/>
                <c:pt idx="0">
                  <c:v>0.16272557560672052</c:v>
                </c:pt>
                <c:pt idx="1">
                  <c:v>0.12405541561712852</c:v>
                </c:pt>
                <c:pt idx="2">
                  <c:v>-0.22746157041960946</c:v>
                </c:pt>
                <c:pt idx="3">
                  <c:v>0.52147666589273278</c:v>
                </c:pt>
                <c:pt idx="4">
                  <c:v>4.9844236760124616E-2</c:v>
                </c:pt>
                <c:pt idx="5">
                  <c:v>8.115889868634163E-2</c:v>
                </c:pt>
                <c:pt idx="6">
                  <c:v>-4.4742729306487261E-3</c:v>
                </c:pt>
                <c:pt idx="7">
                  <c:v>-5.9576719576719617E-2</c:v>
                </c:pt>
                <c:pt idx="8">
                  <c:v>2.1538967444919344E-2</c:v>
                </c:pt>
                <c:pt idx="9">
                  <c:v>-6.3464837049742595E-3</c:v>
                </c:pt>
                <c:pt idx="10">
                  <c:v>0.14989085617268971</c:v>
                </c:pt>
                <c:pt idx="11">
                  <c:v>-9.7271401791293455E-2</c:v>
                </c:pt>
                <c:pt idx="12">
                  <c:v>3.7866790870982658E-2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FB1-44AF-A9CC-E52E40B28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TF'!$C$8:$C$22</c:f>
              <c:numCache>
                <c:formatCode>#,##0</c:formatCode>
                <c:ptCount val="15"/>
                <c:pt idx="0">
                  <c:v>1414199</c:v>
                </c:pt>
                <c:pt idx="1">
                  <c:v>1346478</c:v>
                </c:pt>
                <c:pt idx="2">
                  <c:v>1265143</c:v>
                </c:pt>
                <c:pt idx="3">
                  <c:v>494807</c:v>
                </c:pt>
                <c:pt idx="4">
                  <c:v>404818</c:v>
                </c:pt>
                <c:pt idx="5">
                  <c:v>1327537</c:v>
                </c:pt>
                <c:pt idx="6">
                  <c:v>1351258</c:v>
                </c:pt>
                <c:pt idx="7">
                  <c:v>1389658</c:v>
                </c:pt>
                <c:pt idx="8">
                  <c:v>1376982</c:v>
                </c:pt>
                <c:pt idx="9">
                  <c:v>1272414</c:v>
                </c:pt>
                <c:pt idx="10">
                  <c:v>1237701</c:v>
                </c:pt>
                <c:pt idx="11">
                  <c:v>1207294</c:v>
                </c:pt>
                <c:pt idx="12">
                  <c:v>1167539</c:v>
                </c:pt>
                <c:pt idx="13">
                  <c:v>1165045</c:v>
                </c:pt>
                <c:pt idx="14">
                  <c:v>1051678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F-471F-9B22-F83CB2E13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TF'!$D$8:$D$22</c:f>
              <c:numCache>
                <c:formatCode>0.0%</c:formatCode>
                <c:ptCount val="15"/>
                <c:pt idx="0">
                  <c:v>5.0294917555281149E-2</c:v>
                </c:pt>
                <c:pt idx="1">
                  <c:v>6.4289175215766159E-2</c:v>
                </c:pt>
                <c:pt idx="2">
                  <c:v>1.5568413543058202</c:v>
                </c:pt>
                <c:pt idx="3">
                  <c:v>0.22229495724004367</c:v>
                </c:pt>
                <c:pt idx="4">
                  <c:v>-0.69506085329448442</c:v>
                </c:pt>
                <c:pt idx="5">
                  <c:v>-1.7554752682315322E-2</c:v>
                </c:pt>
                <c:pt idx="6">
                  <c:v>-2.7632698117090682E-2</c:v>
                </c:pt>
                <c:pt idx="7">
                  <c:v>9.2056395798927326E-3</c:v>
                </c:pt>
                <c:pt idx="8">
                  <c:v>8.2180799645398483E-2</c:v>
                </c:pt>
                <c:pt idx="9">
                  <c:v>2.8046353683159442E-2</c:v>
                </c:pt>
                <c:pt idx="10">
                  <c:v>2.5186077293517517E-2</c:v>
                </c:pt>
                <c:pt idx="11">
                  <c:v>3.4050254424049298E-2</c:v>
                </c:pt>
                <c:pt idx="12">
                  <c:v>2.1406898445983646E-3</c:v>
                </c:pt>
                <c:pt idx="13">
                  <c:v>0.10779630267058926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F-471F-9B22-F83CB2E13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TF'!$C$31:$C$45</c:f>
              <c:numCache>
                <c:formatCode>#,##0</c:formatCode>
                <c:ptCount val="15"/>
                <c:pt idx="0">
                  <c:v>875761</c:v>
                </c:pt>
                <c:pt idx="1">
                  <c:v>826953</c:v>
                </c:pt>
                <c:pt idx="2">
                  <c:v>764071</c:v>
                </c:pt>
                <c:pt idx="3">
                  <c:v>257410</c:v>
                </c:pt>
                <c:pt idx="4">
                  <c:v>221920</c:v>
                </c:pt>
                <c:pt idx="5">
                  <c:v>744377</c:v>
                </c:pt>
                <c:pt idx="6">
                  <c:v>722682</c:v>
                </c:pt>
                <c:pt idx="7">
                  <c:v>736550</c:v>
                </c:pt>
                <c:pt idx="8">
                  <c:v>754153</c:v>
                </c:pt>
                <c:pt idx="9">
                  <c:v>690571</c:v>
                </c:pt>
                <c:pt idx="10">
                  <c:v>657103</c:v>
                </c:pt>
                <c:pt idx="11">
                  <c:v>637057</c:v>
                </c:pt>
                <c:pt idx="12">
                  <c:v>622725</c:v>
                </c:pt>
                <c:pt idx="13">
                  <c:v>629114</c:v>
                </c:pt>
                <c:pt idx="14">
                  <c:v>573818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3-4110-B829-62E545051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TF'!$D$30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TF'!$B$31:$B$45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TF'!$D$31:$D$45</c:f>
              <c:numCache>
                <c:formatCode>0.0%</c:formatCode>
                <c:ptCount val="15"/>
                <c:pt idx="0">
                  <c:v>5.9021492152516508E-2</c:v>
                </c:pt>
                <c:pt idx="1">
                  <c:v>8.2298634550977523E-2</c:v>
                </c:pt>
                <c:pt idx="2">
                  <c:v>1.9683034847131036</c:v>
                </c:pt>
                <c:pt idx="3">
                  <c:v>0.15992249459264607</c:v>
                </c:pt>
                <c:pt idx="4">
                  <c:v>-0.7018714979103331</c:v>
                </c:pt>
                <c:pt idx="5">
                  <c:v>3.0020119499309494E-2</c:v>
                </c:pt>
                <c:pt idx="6">
                  <c:v>-1.8828321227343681E-2</c:v>
                </c:pt>
                <c:pt idx="7">
                  <c:v>-2.3341417457730773E-2</c:v>
                </c:pt>
                <c:pt idx="8">
                  <c:v>9.2071633474327674E-2</c:v>
                </c:pt>
                <c:pt idx="9">
                  <c:v>5.0932654393603505E-2</c:v>
                </c:pt>
                <c:pt idx="10">
                  <c:v>3.1466572064980047E-2</c:v>
                </c:pt>
                <c:pt idx="11">
                  <c:v>2.3014974507206132E-2</c:v>
                </c:pt>
                <c:pt idx="12">
                  <c:v>-1.015555209389718E-2</c:v>
                </c:pt>
                <c:pt idx="13">
                  <c:v>9.636504954532632E-2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3-4110-B829-62E545051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TF'!$C$54:$C$68</c:f>
              <c:numCache>
                <c:formatCode>#,##0</c:formatCode>
                <c:ptCount val="15"/>
                <c:pt idx="0">
                  <c:v>662919</c:v>
                </c:pt>
                <c:pt idx="1">
                  <c:v>622157</c:v>
                </c:pt>
                <c:pt idx="2">
                  <c:v>582140</c:v>
                </c:pt>
                <c:pt idx="3">
                  <c:v>206628</c:v>
                </c:pt>
                <c:pt idx="4">
                  <c:v>163812</c:v>
                </c:pt>
                <c:pt idx="5">
                  <c:v>563070</c:v>
                </c:pt>
                <c:pt idx="6">
                  <c:v>519955</c:v>
                </c:pt>
                <c:pt idx="7">
                  <c:v>519490</c:v>
                </c:pt>
                <c:pt idx="8">
                  <c:v>540436</c:v>
                </c:pt>
                <c:pt idx="9">
                  <c:v>501637</c:v>
                </c:pt>
                <c:pt idx="10">
                  <c:v>473322</c:v>
                </c:pt>
                <c:pt idx="11">
                  <c:v>450614</c:v>
                </c:pt>
                <c:pt idx="12">
                  <c:v>432480</c:v>
                </c:pt>
                <c:pt idx="13">
                  <c:v>421227</c:v>
                </c:pt>
                <c:pt idx="14">
                  <c:v>394409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C-48A1-B30E-1EB54F9CF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'Viajeros aloj evol anual TF'!$D$53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'Viajeros aloj evol anual TF'!$B$54:$B$68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'Viajeros aloj evol anual TF'!$D$54:$D$68</c:f>
              <c:numCache>
                <c:formatCode>0.0%</c:formatCode>
                <c:ptCount val="15"/>
                <c:pt idx="0">
                  <c:v>6.5517224751951764E-2</c:v>
                </c:pt>
                <c:pt idx="1">
                  <c:v>6.874119627580999E-2</c:v>
                </c:pt>
                <c:pt idx="2">
                  <c:v>1.8173335656348608</c:v>
                </c:pt>
                <c:pt idx="3">
                  <c:v>0.26137279320196316</c:v>
                </c:pt>
                <c:pt idx="4">
                  <c:v>-0.70907347221482231</c:v>
                </c:pt>
                <c:pt idx="5">
                  <c:v>8.2920637362848604E-2</c:v>
                </c:pt>
                <c:pt idx="6">
                  <c:v>8.9510866426678604E-4</c:v>
                </c:pt>
                <c:pt idx="7">
                  <c:v>-3.875759571901205E-2</c:v>
                </c:pt>
                <c:pt idx="8">
                  <c:v>7.7344773212502327E-2</c:v>
                </c:pt>
                <c:pt idx="9">
                  <c:v>5.9821854889483328E-2</c:v>
                </c:pt>
                <c:pt idx="10">
                  <c:v>5.0393463141402695E-2</c:v>
                </c:pt>
                <c:pt idx="11">
                  <c:v>4.1930262671106222E-2</c:v>
                </c:pt>
                <c:pt idx="12">
                  <c:v>2.6714811728592913E-2</c:v>
                </c:pt>
                <c:pt idx="13">
                  <c:v>6.7995405784350815E-2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C-48A1-B30E-1EB54F9CF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921-4572-8AD3-E3C188BB40FD}"/>
              </c:ext>
            </c:extLst>
          </c:dPt>
          <c:val>
            <c:numRef>
              <c:f>'Pernoctaciones evol mensu TF'!$I$9:$I$21</c:f>
              <c:numCache>
                <c:formatCode>#,##0</c:formatCode>
                <c:ptCount val="13"/>
                <c:pt idx="0">
                  <c:v>810733</c:v>
                </c:pt>
                <c:pt idx="1">
                  <c:v>773844</c:v>
                </c:pt>
                <c:pt idx="2">
                  <c:v>818402</c:v>
                </c:pt>
                <c:pt idx="3">
                  <c:v>745949</c:v>
                </c:pt>
                <c:pt idx="4">
                  <c:v>671021</c:v>
                </c:pt>
                <c:pt idx="5">
                  <c:v>758024</c:v>
                </c:pt>
                <c:pt idx="6">
                  <c:v>872319</c:v>
                </c:pt>
                <c:pt idx="7">
                  <c:v>947197</c:v>
                </c:pt>
                <c:pt idx="8">
                  <c:v>799868</c:v>
                </c:pt>
                <c:pt idx="9">
                  <c:v>863416</c:v>
                </c:pt>
                <c:pt idx="10">
                  <c:v>847777</c:v>
                </c:pt>
                <c:pt idx="11">
                  <c:v>831777</c:v>
                </c:pt>
                <c:pt idx="12">
                  <c:v>9740327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21-4572-8AD3-E3C188BB40FD}"/>
            </c:ext>
          </c:extLst>
        </c:ser>
        <c:ser>
          <c:idx val="0"/>
          <c:order val="2"/>
          <c:tx>
            <c:strRef>
              <c:f>'Pernoctaciones evol mensu TF'!$K$7:$L$7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921-4572-8AD3-E3C188BB40F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TF'!$K$9:$K$21</c:f>
              <c:numCache>
                <c:formatCode>#,##0</c:formatCode>
                <c:ptCount val="13"/>
                <c:pt idx="0">
                  <c:v>835098</c:v>
                </c:pt>
                <c:pt idx="1">
                  <c:v>824761</c:v>
                </c:pt>
                <c:pt idx="2">
                  <c:v>866668</c:v>
                </c:pt>
                <c:pt idx="3">
                  <c:v>789795</c:v>
                </c:pt>
                <c:pt idx="4">
                  <c:v>746827</c:v>
                </c:pt>
                <c:pt idx="5">
                  <c:v>787690</c:v>
                </c:pt>
                <c:pt idx="6">
                  <c:v>895588</c:v>
                </c:pt>
                <c:pt idx="7">
                  <c:v>936279</c:v>
                </c:pt>
                <c:pt idx="8">
                  <c:v>807680</c:v>
                </c:pt>
                <c:pt idx="9">
                  <c:v>870321</c:v>
                </c:pt>
                <c:pt idx="10">
                  <c:v>817457</c:v>
                </c:pt>
                <c:pt idx="11">
                  <c:v>834955</c:v>
                </c:pt>
                <c:pt idx="12">
                  <c:v>10013119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21-4572-8AD3-E3C188BB40FD}"/>
            </c:ext>
          </c:extLst>
        </c:ser>
        <c:ser>
          <c:idx val="1"/>
          <c:order val="3"/>
          <c:tx>
            <c:strRef>
              <c:f>'Pernoctaciones evol mensu TF'!$M$7:$N$7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921-4572-8AD3-E3C188BB40F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921-4572-8AD3-E3C188BB40FD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TF'!$M$9:$M$21</c:f>
              <c:numCache>
                <c:formatCode>#,##0</c:formatCode>
                <c:ptCount val="13"/>
                <c:pt idx="0">
                  <c:v>876312</c:v>
                </c:pt>
                <c:pt idx="1">
                  <c:v>812017</c:v>
                </c:pt>
                <c:pt idx="2">
                  <c:v>828674</c:v>
                </c:pt>
                <c:pt idx="3">
                  <c:v>754621</c:v>
                </c:pt>
                <c:pt idx="4">
                  <c:v>741128</c:v>
                </c:pt>
                <c:pt idx="5">
                  <c:v>808867</c:v>
                </c:pt>
                <c:pt idx="6">
                  <c:v>931484</c:v>
                </c:pt>
                <c:pt idx="7">
                  <c:v>908634</c:v>
                </c:pt>
                <c:pt idx="8">
                  <c:v>815302</c:v>
                </c:pt>
                <c:pt idx="9">
                  <c:v>899430</c:v>
                </c:pt>
                <c:pt idx="10">
                  <c:v>815614</c:v>
                </c:pt>
                <c:pt idx="11">
                  <c:v>802051</c:v>
                </c:pt>
                <c:pt idx="12">
                  <c:v>9994134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921-4572-8AD3-E3C188BB4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921-4572-8AD3-E3C188BB40F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893934</c:v>
                      </c:pt>
                      <c:pt idx="1">
                        <c:v>832182</c:v>
                      </c:pt>
                      <c:pt idx="2">
                        <c:v>381721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191201</c:v>
                      </c:pt>
                      <c:pt idx="8">
                        <c:v>105790</c:v>
                      </c:pt>
                      <c:pt idx="9">
                        <c:v>101639</c:v>
                      </c:pt>
                      <c:pt idx="10">
                        <c:v>110775</c:v>
                      </c:pt>
                      <c:pt idx="11">
                        <c:v>118240</c:v>
                      </c:pt>
                      <c:pt idx="12">
                        <c:v>2858440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921-4572-8AD3-E3C188BB40F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921-4572-8AD3-E3C188BB40F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921-4572-8AD3-E3C188BB40F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921-4572-8AD3-E3C188BB40F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921-4572-8AD3-E3C188BB40F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921-4572-8AD3-E3C188BB40F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921-4572-8AD3-E3C188BB40F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921-4572-8AD3-E3C188BB40F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921-4572-8AD3-E3C188BB40F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921-4572-8AD3-E3C188BB40F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921-4572-8AD3-E3C188BB40F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921-4572-8AD3-E3C188BB40F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921-4572-8AD3-E3C188BB40F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921-4572-8AD3-E3C188BB40FD}"/>
              </c:ext>
            </c:extLst>
          </c:dPt>
          <c:cat>
            <c:strRef>
              <c:f>'Pernoctaciones evol mensu TF'!$B$9:$B$20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TF'!$N$9:$N$21</c:f>
              <c:numCache>
                <c:formatCode>0.0%</c:formatCode>
                <c:ptCount val="13"/>
                <c:pt idx="0">
                  <c:v>4.9352291587334562E-2</c:v>
                </c:pt>
                <c:pt idx="1">
                  <c:v>-1.5451749052149633E-2</c:v>
                </c:pt>
                <c:pt idx="2">
                  <c:v>-4.3839163324364105E-2</c:v>
                </c:pt>
                <c:pt idx="3">
                  <c:v>-4.4535607341145478E-2</c:v>
                </c:pt>
                <c:pt idx="4">
                  <c:v>-7.6309506753237111E-3</c:v>
                </c:pt>
                <c:pt idx="5">
                  <c:v>2.6884942045728666E-2</c:v>
                </c:pt>
                <c:pt idx="6">
                  <c:v>4.0080930070523602E-2</c:v>
                </c:pt>
                <c:pt idx="7">
                  <c:v>-2.9526455255324491E-2</c:v>
                </c:pt>
                <c:pt idx="8">
                  <c:v>9.4369057052297034E-3</c:v>
                </c:pt>
                <c:pt idx="9">
                  <c:v>3.3446280165594144E-2</c:v>
                </c:pt>
                <c:pt idx="10">
                  <c:v>-2.2545528388648872E-3</c:v>
                </c:pt>
                <c:pt idx="11">
                  <c:v>-3.9408111814409175E-2</c:v>
                </c:pt>
                <c:pt idx="12">
                  <c:v>-1.8960126210424422E-3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921-4572-8AD3-E3C188BB4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1F-457F-9A52-56D6DD908222}"/>
              </c:ext>
            </c:extLst>
          </c:dPt>
          <c:val>
            <c:numRef>
              <c:f>'Pernoctaciones evol mensu TF'!$I$31:$I$43</c:f>
              <c:numCache>
                <c:formatCode>#,##0</c:formatCode>
                <c:ptCount val="13"/>
                <c:pt idx="0">
                  <c:v>31748</c:v>
                </c:pt>
                <c:pt idx="1">
                  <c:v>21281</c:v>
                </c:pt>
                <c:pt idx="2">
                  <c:v>24322</c:v>
                </c:pt>
                <c:pt idx="3">
                  <c:v>46080</c:v>
                </c:pt>
                <c:pt idx="4">
                  <c:v>29396</c:v>
                </c:pt>
                <c:pt idx="5">
                  <c:v>44590</c:v>
                </c:pt>
                <c:pt idx="6">
                  <c:v>67410</c:v>
                </c:pt>
                <c:pt idx="7">
                  <c:v>132200</c:v>
                </c:pt>
                <c:pt idx="8">
                  <c:v>54675</c:v>
                </c:pt>
                <c:pt idx="9">
                  <c:v>44421</c:v>
                </c:pt>
                <c:pt idx="10">
                  <c:v>36335</c:v>
                </c:pt>
                <c:pt idx="11">
                  <c:v>45648</c:v>
                </c:pt>
                <c:pt idx="12">
                  <c:v>578106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1F-457F-9A52-56D6DD908222}"/>
            </c:ext>
          </c:extLst>
        </c:ser>
        <c:ser>
          <c:idx val="0"/>
          <c:order val="2"/>
          <c:tx>
            <c:strRef>
              <c:f>'Pernoctaciones evol mensu TF'!$K$29:$L$29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D1F-457F-9A52-56D6DD90822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TF'!$K$31:$K$43</c:f>
              <c:numCache>
                <c:formatCode>#,##0</c:formatCode>
                <c:ptCount val="13"/>
                <c:pt idx="0">
                  <c:v>30511</c:v>
                </c:pt>
                <c:pt idx="1">
                  <c:v>26641</c:v>
                </c:pt>
                <c:pt idx="2">
                  <c:v>38910</c:v>
                </c:pt>
                <c:pt idx="3">
                  <c:v>38278</c:v>
                </c:pt>
                <c:pt idx="4">
                  <c:v>41371</c:v>
                </c:pt>
                <c:pt idx="5">
                  <c:v>47095</c:v>
                </c:pt>
                <c:pt idx="6">
                  <c:v>72329</c:v>
                </c:pt>
                <c:pt idx="7">
                  <c:v>90782</c:v>
                </c:pt>
                <c:pt idx="8">
                  <c:v>51020</c:v>
                </c:pt>
                <c:pt idx="9">
                  <c:v>43620</c:v>
                </c:pt>
                <c:pt idx="10">
                  <c:v>27880</c:v>
                </c:pt>
                <c:pt idx="11">
                  <c:v>41448</c:v>
                </c:pt>
                <c:pt idx="12">
                  <c:v>549885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1F-457F-9A52-56D6DD908222}"/>
            </c:ext>
          </c:extLst>
        </c:ser>
        <c:ser>
          <c:idx val="1"/>
          <c:order val="3"/>
          <c:tx>
            <c:strRef>
              <c:f>'Pernoctaciones evol mensu TF'!$M$29:$N$29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D1F-457F-9A52-56D6DD90822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D1F-457F-9A52-56D6DD90822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TF'!$M$31:$M$43</c:f>
              <c:numCache>
                <c:formatCode>#,##0</c:formatCode>
                <c:ptCount val="13"/>
                <c:pt idx="0">
                  <c:v>34050</c:v>
                </c:pt>
                <c:pt idx="1">
                  <c:v>30506</c:v>
                </c:pt>
                <c:pt idx="2">
                  <c:v>29803</c:v>
                </c:pt>
                <c:pt idx="3">
                  <c:v>53611</c:v>
                </c:pt>
                <c:pt idx="4">
                  <c:v>35251</c:v>
                </c:pt>
                <c:pt idx="5">
                  <c:v>48568</c:v>
                </c:pt>
                <c:pt idx="6">
                  <c:v>73349</c:v>
                </c:pt>
                <c:pt idx="7">
                  <c:v>85490</c:v>
                </c:pt>
                <c:pt idx="8">
                  <c:v>57217</c:v>
                </c:pt>
                <c:pt idx="9">
                  <c:v>48318</c:v>
                </c:pt>
                <c:pt idx="10">
                  <c:v>37623</c:v>
                </c:pt>
                <c:pt idx="11">
                  <c:v>40323</c:v>
                </c:pt>
                <c:pt idx="12">
                  <c:v>574109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D1F-457F-9A52-56D6DD908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D1F-457F-9A52-56D6DD90822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37671</c:v>
                      </c:pt>
                      <c:pt idx="1">
                        <c:v>31441</c:v>
                      </c:pt>
                      <c:pt idx="2">
                        <c:v>13981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60743</c:v>
                      </c:pt>
                      <c:pt idx="8">
                        <c:v>30758</c:v>
                      </c:pt>
                      <c:pt idx="9">
                        <c:v>28673</c:v>
                      </c:pt>
                      <c:pt idx="10">
                        <c:v>10757</c:v>
                      </c:pt>
                      <c:pt idx="11">
                        <c:v>8464</c:v>
                      </c:pt>
                      <c:pt idx="12">
                        <c:v>241430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D1F-457F-9A52-56D6DD90822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D1F-457F-9A52-56D6DD90822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D1F-457F-9A52-56D6DD90822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D1F-457F-9A52-56D6DD90822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D1F-457F-9A52-56D6DD90822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D1F-457F-9A52-56D6DD90822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D1F-457F-9A52-56D6DD90822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D1F-457F-9A52-56D6DD90822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D1F-457F-9A52-56D6DD90822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D1F-457F-9A52-56D6DD90822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D1F-457F-9A52-56D6DD90822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D1F-457F-9A52-56D6DD90822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D1F-457F-9A52-56D6DD90822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D1F-457F-9A52-56D6DD908222}"/>
              </c:ext>
            </c:extLst>
          </c:dPt>
          <c:cat>
            <c:strRef>
              <c:f>'Pernoctaciones evol mensu TF'!$B$31:$B$42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TF'!$N$31:$N$43</c:f>
              <c:numCache>
                <c:formatCode>0.0%</c:formatCode>
                <c:ptCount val="13"/>
                <c:pt idx="0">
                  <c:v>0.11599095408213422</c:v>
                </c:pt>
                <c:pt idx="1">
                  <c:v>0.14507713674411615</c:v>
                </c:pt>
                <c:pt idx="2">
                  <c:v>-0.23405294268825494</c:v>
                </c:pt>
                <c:pt idx="3">
                  <c:v>0.40056951773864879</c:v>
                </c:pt>
                <c:pt idx="4">
                  <c:v>-0.14792970921660098</c:v>
                </c:pt>
                <c:pt idx="5">
                  <c:v>3.1277205648158057E-2</c:v>
                </c:pt>
                <c:pt idx="6">
                  <c:v>1.4102227322374095E-2</c:v>
                </c:pt>
                <c:pt idx="7">
                  <c:v>-5.8293494305038496E-2</c:v>
                </c:pt>
                <c:pt idx="8">
                  <c:v>0.12146217169737361</c:v>
                </c:pt>
                <c:pt idx="9">
                  <c:v>0.10770288858321875</c:v>
                </c:pt>
                <c:pt idx="10">
                  <c:v>0.3494619799139167</c:v>
                </c:pt>
                <c:pt idx="11">
                  <c:v>-2.7142443543717421E-2</c:v>
                </c:pt>
                <c:pt idx="12">
                  <c:v>4.40528474135502E-2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D1F-457F-9A52-56D6DD908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60-4D42-A123-38D2B9DB421E}"/>
              </c:ext>
            </c:extLst>
          </c:dPt>
          <c:val>
            <c:numRef>
              <c:f>'Pernoctaciones evol mensu TF'!$I$53:$I$65</c:f>
              <c:numCache>
                <c:formatCode>#,##0</c:formatCode>
                <c:ptCount val="13"/>
                <c:pt idx="0">
                  <c:v>25146</c:v>
                </c:pt>
                <c:pt idx="1">
                  <c:v>16027</c:v>
                </c:pt>
                <c:pt idx="2">
                  <c:v>18063</c:v>
                </c:pt>
                <c:pt idx="3">
                  <c:v>31153</c:v>
                </c:pt>
                <c:pt idx="4">
                  <c:v>18994</c:v>
                </c:pt>
                <c:pt idx="5">
                  <c:v>26276</c:v>
                </c:pt>
                <c:pt idx="6">
                  <c:v>36034</c:v>
                </c:pt>
                <c:pt idx="7">
                  <c:v>83159</c:v>
                </c:pt>
                <c:pt idx="8">
                  <c:v>27840</c:v>
                </c:pt>
                <c:pt idx="9">
                  <c:v>24146</c:v>
                </c:pt>
                <c:pt idx="10">
                  <c:v>20317</c:v>
                </c:pt>
                <c:pt idx="11">
                  <c:v>31159</c:v>
                </c:pt>
                <c:pt idx="12">
                  <c:v>358314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60-4D42-A123-38D2B9DB421E}"/>
            </c:ext>
          </c:extLst>
        </c:ser>
        <c:ser>
          <c:idx val="0"/>
          <c:order val="2"/>
          <c:tx>
            <c:strRef>
              <c:f>'Pernoctaciones evol mensu TF'!$K$51:$L$51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A60-4D42-A123-38D2B9DB421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TF'!$K$53:$K$65</c:f>
              <c:numCache>
                <c:formatCode>#,##0</c:formatCode>
                <c:ptCount val="13"/>
                <c:pt idx="0">
                  <c:v>18584</c:v>
                </c:pt>
                <c:pt idx="1">
                  <c:v>16643</c:v>
                </c:pt>
                <c:pt idx="2">
                  <c:v>20604</c:v>
                </c:pt>
                <c:pt idx="3">
                  <c:v>18824</c:v>
                </c:pt>
                <c:pt idx="4">
                  <c:v>22446</c:v>
                </c:pt>
                <c:pt idx="5">
                  <c:v>24937</c:v>
                </c:pt>
                <c:pt idx="6">
                  <c:v>39454</c:v>
                </c:pt>
                <c:pt idx="7">
                  <c:v>50144</c:v>
                </c:pt>
                <c:pt idx="8">
                  <c:v>29348</c:v>
                </c:pt>
                <c:pt idx="9">
                  <c:v>26632</c:v>
                </c:pt>
                <c:pt idx="10">
                  <c:v>20242</c:v>
                </c:pt>
                <c:pt idx="11">
                  <c:v>24796</c:v>
                </c:pt>
                <c:pt idx="12">
                  <c:v>312654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60-4D42-A123-38D2B9DB421E}"/>
            </c:ext>
          </c:extLst>
        </c:ser>
        <c:ser>
          <c:idx val="1"/>
          <c:order val="3"/>
          <c:tx>
            <c:strRef>
              <c:f>'Pernoctaciones evol mensu TF'!$M$51:$N$51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60-4D42-A123-38D2B9DB421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A60-4D42-A123-38D2B9DB421E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TF'!$M$53:$M$65</c:f>
              <c:numCache>
                <c:formatCode>#,##0</c:formatCode>
                <c:ptCount val="13"/>
                <c:pt idx="0">
                  <c:v>21537</c:v>
                </c:pt>
                <c:pt idx="1">
                  <c:v>19156</c:v>
                </c:pt>
                <c:pt idx="2">
                  <c:v>18642</c:v>
                </c:pt>
                <c:pt idx="3">
                  <c:v>29526</c:v>
                </c:pt>
                <c:pt idx="4">
                  <c:v>26725</c:v>
                </c:pt>
                <c:pt idx="5">
                  <c:v>29537</c:v>
                </c:pt>
                <c:pt idx="6">
                  <c:v>42725</c:v>
                </c:pt>
                <c:pt idx="7">
                  <c:v>52238</c:v>
                </c:pt>
                <c:pt idx="8">
                  <c:v>34263</c:v>
                </c:pt>
                <c:pt idx="9">
                  <c:v>30433</c:v>
                </c:pt>
                <c:pt idx="10">
                  <c:v>23771</c:v>
                </c:pt>
                <c:pt idx="11">
                  <c:v>23905</c:v>
                </c:pt>
                <c:pt idx="12">
                  <c:v>352458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A60-4D42-A123-38D2B9DB4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A60-4D42-A123-38D2B9DB421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23617</c:v>
                      </c:pt>
                      <c:pt idx="1">
                        <c:v>21412</c:v>
                      </c:pt>
                      <c:pt idx="2">
                        <c:v>7343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38101</c:v>
                      </c:pt>
                      <c:pt idx="8">
                        <c:v>17630</c:v>
                      </c:pt>
                      <c:pt idx="9">
                        <c:v>16572</c:v>
                      </c:pt>
                      <c:pt idx="10">
                        <c:v>5230</c:v>
                      </c:pt>
                      <c:pt idx="11">
                        <c:v>4774</c:v>
                      </c:pt>
                      <c:pt idx="12">
                        <c:v>148896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A60-4D42-A123-38D2B9DB421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A60-4D42-A123-38D2B9DB421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A60-4D42-A123-38D2B9DB421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A60-4D42-A123-38D2B9DB421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A60-4D42-A123-38D2B9DB421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A60-4D42-A123-38D2B9DB421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A60-4D42-A123-38D2B9DB421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A60-4D42-A123-38D2B9DB421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A60-4D42-A123-38D2B9DB421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A60-4D42-A123-38D2B9DB421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A60-4D42-A123-38D2B9DB421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A60-4D42-A123-38D2B9DB421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A60-4D42-A123-38D2B9DB421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A60-4D42-A123-38D2B9DB421E}"/>
              </c:ext>
            </c:extLst>
          </c:dPt>
          <c:cat>
            <c:strRef>
              <c:f>'Pernoctaciones evol mensu TF'!$B$53:$B$64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TF'!$N$53:$N$65</c:f>
              <c:numCache>
                <c:formatCode>0.0%</c:formatCode>
                <c:ptCount val="13"/>
                <c:pt idx="0">
                  <c:v>0.15890012914334917</c:v>
                </c:pt>
                <c:pt idx="1">
                  <c:v>0.15099441206513253</c:v>
                </c:pt>
                <c:pt idx="2">
                  <c:v>-9.5224228305183511E-2</c:v>
                </c:pt>
                <c:pt idx="3">
                  <c:v>0.56852953676158102</c:v>
                </c:pt>
                <c:pt idx="4">
                  <c:v>0.1906353025037868</c:v>
                </c:pt>
                <c:pt idx="5">
                  <c:v>0.18446485142559244</c:v>
                </c:pt>
                <c:pt idx="6">
                  <c:v>8.2906676129163026E-2</c:v>
                </c:pt>
                <c:pt idx="7">
                  <c:v>4.1759731971920955E-2</c:v>
                </c:pt>
                <c:pt idx="8">
                  <c:v>0.16747308164099772</c:v>
                </c:pt>
                <c:pt idx="9">
                  <c:v>0.14272303995193747</c:v>
                </c:pt>
                <c:pt idx="10">
                  <c:v>0.17434048018970461</c:v>
                </c:pt>
                <c:pt idx="11">
                  <c:v>-3.5933215034683053E-2</c:v>
                </c:pt>
                <c:pt idx="12">
                  <c:v>0.12731006160164271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A60-4D42-A123-38D2B9DB4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4E-4CC4-891C-904C1BBEB0F6}"/>
              </c:ext>
            </c:extLst>
          </c:dPt>
          <c:val>
            <c:numRef>
              <c:f>'Pernoctaciones evol mensu TF'!$I$75:$I$87</c:f>
              <c:numCache>
                <c:formatCode>#,##0</c:formatCode>
                <c:ptCount val="13"/>
                <c:pt idx="0">
                  <c:v>6602</c:v>
                </c:pt>
                <c:pt idx="1">
                  <c:v>5254</c:v>
                </c:pt>
                <c:pt idx="2">
                  <c:v>6259</c:v>
                </c:pt>
                <c:pt idx="3">
                  <c:v>14927</c:v>
                </c:pt>
                <c:pt idx="4">
                  <c:v>10402</c:v>
                </c:pt>
                <c:pt idx="5">
                  <c:v>18314</c:v>
                </c:pt>
                <c:pt idx="6">
                  <c:v>31376</c:v>
                </c:pt>
                <c:pt idx="7">
                  <c:v>49041</c:v>
                </c:pt>
                <c:pt idx="8">
                  <c:v>26835</c:v>
                </c:pt>
                <c:pt idx="9">
                  <c:v>20275</c:v>
                </c:pt>
                <c:pt idx="10">
                  <c:v>16018</c:v>
                </c:pt>
                <c:pt idx="11">
                  <c:v>14489</c:v>
                </c:pt>
                <c:pt idx="12">
                  <c:v>219792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4E-4CC4-891C-904C1BBEB0F6}"/>
            </c:ext>
          </c:extLst>
        </c:ser>
        <c:ser>
          <c:idx val="0"/>
          <c:order val="2"/>
          <c:tx>
            <c:strRef>
              <c:f>'Pernoctaciones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34E-4CC4-891C-904C1BBEB0F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TF'!$K$75:$K$87</c:f>
              <c:numCache>
                <c:formatCode>#,##0</c:formatCode>
                <c:ptCount val="13"/>
                <c:pt idx="0">
                  <c:v>11927</c:v>
                </c:pt>
                <c:pt idx="1">
                  <c:v>9998</c:v>
                </c:pt>
                <c:pt idx="2">
                  <c:v>18306</c:v>
                </c:pt>
                <c:pt idx="3">
                  <c:v>19454</c:v>
                </c:pt>
                <c:pt idx="4">
                  <c:v>18925</c:v>
                </c:pt>
                <c:pt idx="5">
                  <c:v>22158</c:v>
                </c:pt>
                <c:pt idx="6">
                  <c:v>32875</c:v>
                </c:pt>
                <c:pt idx="7">
                  <c:v>40638</c:v>
                </c:pt>
                <c:pt idx="8">
                  <c:v>21672</c:v>
                </c:pt>
                <c:pt idx="9">
                  <c:v>16988</c:v>
                </c:pt>
                <c:pt idx="10">
                  <c:v>7638</c:v>
                </c:pt>
                <c:pt idx="11">
                  <c:v>16652</c:v>
                </c:pt>
                <c:pt idx="12">
                  <c:v>237231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4E-4CC4-891C-904C1BBEB0F6}"/>
            </c:ext>
          </c:extLst>
        </c:ser>
        <c:ser>
          <c:idx val="1"/>
          <c:order val="3"/>
          <c:tx>
            <c:strRef>
              <c:f>'Pernoctaciones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4E-4CC4-891C-904C1BBEB0F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34E-4CC4-891C-904C1BBEB0F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TF'!$M$75:$M$87</c:f>
              <c:numCache>
                <c:formatCode>#,##0</c:formatCode>
                <c:ptCount val="13"/>
                <c:pt idx="0">
                  <c:v>12513</c:v>
                </c:pt>
                <c:pt idx="1">
                  <c:v>11350</c:v>
                </c:pt>
                <c:pt idx="2">
                  <c:v>11161</c:v>
                </c:pt>
                <c:pt idx="3">
                  <c:v>24085</c:v>
                </c:pt>
                <c:pt idx="4">
                  <c:v>8526</c:v>
                </c:pt>
                <c:pt idx="5">
                  <c:v>19031</c:v>
                </c:pt>
                <c:pt idx="6">
                  <c:v>30624</c:v>
                </c:pt>
                <c:pt idx="7">
                  <c:v>33252</c:v>
                </c:pt>
                <c:pt idx="8">
                  <c:v>22954</c:v>
                </c:pt>
                <c:pt idx="9">
                  <c:v>17885</c:v>
                </c:pt>
                <c:pt idx="10">
                  <c:v>13852</c:v>
                </c:pt>
                <c:pt idx="11">
                  <c:v>16418</c:v>
                </c:pt>
                <c:pt idx="12">
                  <c:v>221651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34E-4CC4-891C-904C1BBEB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34E-4CC4-891C-904C1BBEB0F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14054</c:v>
                      </c:pt>
                      <c:pt idx="1">
                        <c:v>10029</c:v>
                      </c:pt>
                      <c:pt idx="2">
                        <c:v>6638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22642</c:v>
                      </c:pt>
                      <c:pt idx="8">
                        <c:v>13128</c:v>
                      </c:pt>
                      <c:pt idx="9">
                        <c:v>12101</c:v>
                      </c:pt>
                      <c:pt idx="10">
                        <c:v>5527</c:v>
                      </c:pt>
                      <c:pt idx="11">
                        <c:v>3690</c:v>
                      </c:pt>
                      <c:pt idx="12">
                        <c:v>92534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34E-4CC4-891C-904C1BBEB0F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34E-4CC4-891C-904C1BBEB0F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34E-4CC4-891C-904C1BBEB0F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34E-4CC4-891C-904C1BBEB0F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34E-4CC4-891C-904C1BBEB0F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34E-4CC4-891C-904C1BBEB0F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34E-4CC4-891C-904C1BBEB0F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34E-4CC4-891C-904C1BBEB0F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34E-4CC4-891C-904C1BBEB0F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34E-4CC4-891C-904C1BBEB0F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34E-4CC4-891C-904C1BBEB0F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34E-4CC4-891C-904C1BBEB0F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34E-4CC4-891C-904C1BBEB0F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34E-4CC4-891C-904C1BBEB0F6}"/>
              </c:ext>
            </c:extLst>
          </c:dPt>
          <c:cat>
            <c:strRef>
              <c:f>'Pernoctaciones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TF'!$N$75:$N$87</c:f>
              <c:numCache>
                <c:formatCode>0.0%</c:formatCode>
                <c:ptCount val="13"/>
                <c:pt idx="0">
                  <c:v>4.9132221011151112E-2</c:v>
                </c:pt>
                <c:pt idx="1">
                  <c:v>0.13522704540908181</c:v>
                </c:pt>
                <c:pt idx="2">
                  <c:v>-0.39030918824429151</c:v>
                </c:pt>
                <c:pt idx="3">
                  <c:v>0.2380487303382337</c:v>
                </c:pt>
                <c:pt idx="4">
                  <c:v>-0.54948480845442538</c:v>
                </c:pt>
                <c:pt idx="5">
                  <c:v>-0.14112284502211392</c:v>
                </c:pt>
                <c:pt idx="6">
                  <c:v>-6.8471482889733815E-2</c:v>
                </c:pt>
                <c:pt idx="7">
                  <c:v>-0.18175107042669425</c:v>
                </c:pt>
                <c:pt idx="8">
                  <c:v>5.9154669619785993E-2</c:v>
                </c:pt>
                <c:pt idx="9">
                  <c:v>5.2801977866729466E-2</c:v>
                </c:pt>
                <c:pt idx="10">
                  <c:v>0.81356376014663523</c:v>
                </c:pt>
                <c:pt idx="11">
                  <c:v>-1.4052366082152323E-2</c:v>
                </c:pt>
                <c:pt idx="12">
                  <c:v>-6.5674384882245529E-2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34E-4CC4-891C-904C1BBEB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66-4890-9C5E-480AFCA91C12}"/>
              </c:ext>
            </c:extLst>
          </c:dPt>
          <c:val>
            <c:numRef>
              <c:f>'Pernoctaciones evol mensu TF'!$I$97:$I$109</c:f>
              <c:numCache>
                <c:formatCode>#,##0</c:formatCode>
                <c:ptCount val="13"/>
                <c:pt idx="0">
                  <c:v>778985</c:v>
                </c:pt>
                <c:pt idx="1">
                  <c:v>752563</c:v>
                </c:pt>
                <c:pt idx="2">
                  <c:v>794080</c:v>
                </c:pt>
                <c:pt idx="3">
                  <c:v>699869</c:v>
                </c:pt>
                <c:pt idx="4">
                  <c:v>641625</c:v>
                </c:pt>
                <c:pt idx="5">
                  <c:v>713434</c:v>
                </c:pt>
                <c:pt idx="6">
                  <c:v>804909</c:v>
                </c:pt>
                <c:pt idx="7">
                  <c:v>814997</c:v>
                </c:pt>
                <c:pt idx="8">
                  <c:v>745193</c:v>
                </c:pt>
                <c:pt idx="9">
                  <c:v>818995</c:v>
                </c:pt>
                <c:pt idx="10">
                  <c:v>811442</c:v>
                </c:pt>
                <c:pt idx="11">
                  <c:v>786129</c:v>
                </c:pt>
                <c:pt idx="12">
                  <c:v>9162221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66-4890-9C5E-480AFCA91C12}"/>
            </c:ext>
          </c:extLst>
        </c:ser>
        <c:ser>
          <c:idx val="0"/>
          <c:order val="2"/>
          <c:tx>
            <c:strRef>
              <c:f>'Pernoctaciones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A66-4890-9C5E-480AFCA91C1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TF'!$K$97:$K$109</c:f>
              <c:numCache>
                <c:formatCode>#,##0</c:formatCode>
                <c:ptCount val="13"/>
                <c:pt idx="0">
                  <c:v>804587</c:v>
                </c:pt>
                <c:pt idx="1">
                  <c:v>798120</c:v>
                </c:pt>
                <c:pt idx="2">
                  <c:v>827758</c:v>
                </c:pt>
                <c:pt idx="3">
                  <c:v>751517</c:v>
                </c:pt>
                <c:pt idx="4">
                  <c:v>705456</c:v>
                </c:pt>
                <c:pt idx="5">
                  <c:v>740595</c:v>
                </c:pt>
                <c:pt idx="6">
                  <c:v>823259</c:v>
                </c:pt>
                <c:pt idx="7">
                  <c:v>845497</c:v>
                </c:pt>
                <c:pt idx="8">
                  <c:v>756660</c:v>
                </c:pt>
                <c:pt idx="9">
                  <c:v>826701</c:v>
                </c:pt>
                <c:pt idx="10">
                  <c:v>789577</c:v>
                </c:pt>
                <c:pt idx="11">
                  <c:v>793507</c:v>
                </c:pt>
                <c:pt idx="12">
                  <c:v>9463234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66-4890-9C5E-480AFCA91C12}"/>
            </c:ext>
          </c:extLst>
        </c:ser>
        <c:ser>
          <c:idx val="1"/>
          <c:order val="3"/>
          <c:tx>
            <c:strRef>
              <c:f>'Pernoctaciones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66-4890-9C5E-480AFCA91C1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A66-4890-9C5E-480AFCA91C12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TF'!$M$97:$M$109</c:f>
              <c:numCache>
                <c:formatCode>#,##0</c:formatCode>
                <c:ptCount val="13"/>
                <c:pt idx="0">
                  <c:v>842262</c:v>
                </c:pt>
                <c:pt idx="1">
                  <c:v>781511</c:v>
                </c:pt>
                <c:pt idx="2">
                  <c:v>798871</c:v>
                </c:pt>
                <c:pt idx="3">
                  <c:v>701010</c:v>
                </c:pt>
                <c:pt idx="4">
                  <c:v>705877</c:v>
                </c:pt>
                <c:pt idx="5">
                  <c:v>760299</c:v>
                </c:pt>
                <c:pt idx="6">
                  <c:v>858135</c:v>
                </c:pt>
                <c:pt idx="7">
                  <c:v>823144</c:v>
                </c:pt>
                <c:pt idx="8">
                  <c:v>758085</c:v>
                </c:pt>
                <c:pt idx="9">
                  <c:v>851112</c:v>
                </c:pt>
                <c:pt idx="10">
                  <c:v>777991</c:v>
                </c:pt>
                <c:pt idx="11">
                  <c:v>761728</c:v>
                </c:pt>
                <c:pt idx="12">
                  <c:v>9420025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A66-4890-9C5E-480AFCA91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A66-4890-9C5E-480AFCA91C1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856263</c:v>
                      </c:pt>
                      <c:pt idx="1">
                        <c:v>800741</c:v>
                      </c:pt>
                      <c:pt idx="2">
                        <c:v>367740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130458</c:v>
                      </c:pt>
                      <c:pt idx="8">
                        <c:v>75032</c:v>
                      </c:pt>
                      <c:pt idx="9">
                        <c:v>72966</c:v>
                      </c:pt>
                      <c:pt idx="10">
                        <c:v>100018</c:v>
                      </c:pt>
                      <c:pt idx="11">
                        <c:v>109776</c:v>
                      </c:pt>
                      <c:pt idx="12">
                        <c:v>2617010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A66-4890-9C5E-480AFCA91C1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A66-4890-9C5E-480AFCA91C1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A66-4890-9C5E-480AFCA91C1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A66-4890-9C5E-480AFCA91C1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A66-4890-9C5E-480AFCA91C1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A66-4890-9C5E-480AFCA91C1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A66-4890-9C5E-480AFCA91C1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A66-4890-9C5E-480AFCA91C1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A66-4890-9C5E-480AFCA91C1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A66-4890-9C5E-480AFCA91C1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A66-4890-9C5E-480AFCA91C1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A66-4890-9C5E-480AFCA91C1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A66-4890-9C5E-480AFCA91C1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A66-4890-9C5E-480AFCA91C12}"/>
              </c:ext>
            </c:extLst>
          </c:dPt>
          <c:cat>
            <c:strRef>
              <c:f>'Pernoctaciones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TF'!$N$97:$N$109</c:f>
              <c:numCache>
                <c:formatCode>0.0%</c:formatCode>
                <c:ptCount val="13"/>
                <c:pt idx="0">
                  <c:v>4.6825265633175794E-2</c:v>
                </c:pt>
                <c:pt idx="1">
                  <c:v>-2.0810153861574698E-2</c:v>
                </c:pt>
                <c:pt idx="2">
                  <c:v>-3.489788078158107E-2</c:v>
                </c:pt>
                <c:pt idx="3">
                  <c:v>-6.7206729854414449E-2</c:v>
                </c:pt>
                <c:pt idx="4">
                  <c:v>5.967771200472427E-4</c:v>
                </c:pt>
                <c:pt idx="5">
                  <c:v>2.6605634658618982E-2</c:v>
                </c:pt>
                <c:pt idx="6">
                  <c:v>4.2363338876343803E-2</c:v>
                </c:pt>
                <c:pt idx="7">
                  <c:v>-2.6437704687302221E-2</c:v>
                </c:pt>
                <c:pt idx="8">
                  <c:v>1.88327650463882E-3</c:v>
                </c:pt>
                <c:pt idx="9">
                  <c:v>2.952820911066989E-2</c:v>
                </c:pt>
                <c:pt idx="10">
                  <c:v>-1.4673679704449327E-2</c:v>
                </c:pt>
                <c:pt idx="11">
                  <c:v>-4.0048796040866641E-2</c:v>
                </c:pt>
                <c:pt idx="12">
                  <c:v>-4.5659866383944703E-3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A66-4890-9C5E-480AFCA91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D-4785-B4A5-41D4E27CEF55}"/>
              </c:ext>
            </c:extLst>
          </c:dPt>
          <c:val>
            <c:numRef>
              <c:f>'Pernoctaciones evol mensu TF'!$I$119:$I$131</c:f>
              <c:numCache>
                <c:formatCode>#,##0</c:formatCode>
                <c:ptCount val="13"/>
                <c:pt idx="0">
                  <c:v>305389</c:v>
                </c:pt>
                <c:pt idx="1">
                  <c:v>294598</c:v>
                </c:pt>
                <c:pt idx="2">
                  <c:v>365880</c:v>
                </c:pt>
                <c:pt idx="3">
                  <c:v>328415</c:v>
                </c:pt>
                <c:pt idx="4">
                  <c:v>380507</c:v>
                </c:pt>
                <c:pt idx="5">
                  <c:v>428359</c:v>
                </c:pt>
                <c:pt idx="6">
                  <c:v>480710</c:v>
                </c:pt>
                <c:pt idx="7">
                  <c:v>456116</c:v>
                </c:pt>
                <c:pt idx="8">
                  <c:v>441166</c:v>
                </c:pt>
                <c:pt idx="9">
                  <c:v>438839</c:v>
                </c:pt>
                <c:pt idx="10">
                  <c:v>355194</c:v>
                </c:pt>
                <c:pt idx="11">
                  <c:v>352959</c:v>
                </c:pt>
                <c:pt idx="12">
                  <c:v>4628132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6D-4785-B4A5-41D4E27CEF55}"/>
            </c:ext>
          </c:extLst>
        </c:ser>
        <c:ser>
          <c:idx val="0"/>
          <c:order val="2"/>
          <c:tx>
            <c:strRef>
              <c:f>'Pernoctaciones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D6D-4785-B4A5-41D4E27CEF5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TF'!$K$119:$K$131</c:f>
              <c:numCache>
                <c:formatCode>#,##0</c:formatCode>
                <c:ptCount val="13"/>
                <c:pt idx="0">
                  <c:v>337479</c:v>
                </c:pt>
                <c:pt idx="1">
                  <c:v>317505</c:v>
                </c:pt>
                <c:pt idx="2">
                  <c:v>366554</c:v>
                </c:pt>
                <c:pt idx="3">
                  <c:v>387552</c:v>
                </c:pt>
                <c:pt idx="4">
                  <c:v>422996</c:v>
                </c:pt>
                <c:pt idx="5">
                  <c:v>458450</c:v>
                </c:pt>
                <c:pt idx="6">
                  <c:v>490081</c:v>
                </c:pt>
                <c:pt idx="7">
                  <c:v>482673</c:v>
                </c:pt>
                <c:pt idx="8">
                  <c:v>457809</c:v>
                </c:pt>
                <c:pt idx="9">
                  <c:v>440688</c:v>
                </c:pt>
                <c:pt idx="10">
                  <c:v>349166</c:v>
                </c:pt>
                <c:pt idx="11">
                  <c:v>347949</c:v>
                </c:pt>
                <c:pt idx="12">
                  <c:v>4858902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6D-4785-B4A5-41D4E27CEF55}"/>
            </c:ext>
          </c:extLst>
        </c:ser>
        <c:ser>
          <c:idx val="1"/>
          <c:order val="3"/>
          <c:tx>
            <c:strRef>
              <c:f>'Pernoctaciones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6D-4785-B4A5-41D4E27CEF5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D6D-4785-B4A5-41D4E27CEF55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TF'!$M$119:$M$131</c:f>
              <c:numCache>
                <c:formatCode>#,##0</c:formatCode>
                <c:ptCount val="13"/>
                <c:pt idx="0">
                  <c:v>359614</c:v>
                </c:pt>
                <c:pt idx="1">
                  <c:v>313821</c:v>
                </c:pt>
                <c:pt idx="2">
                  <c:v>362426</c:v>
                </c:pt>
                <c:pt idx="3">
                  <c:v>350010</c:v>
                </c:pt>
                <c:pt idx="4">
                  <c:v>432268</c:v>
                </c:pt>
                <c:pt idx="5">
                  <c:v>466474</c:v>
                </c:pt>
                <c:pt idx="6">
                  <c:v>493997</c:v>
                </c:pt>
                <c:pt idx="7">
                  <c:v>471034</c:v>
                </c:pt>
                <c:pt idx="8">
                  <c:v>449547</c:v>
                </c:pt>
                <c:pt idx="9">
                  <c:v>467410</c:v>
                </c:pt>
                <c:pt idx="10">
                  <c:v>345916</c:v>
                </c:pt>
                <c:pt idx="11">
                  <c:v>338110</c:v>
                </c:pt>
                <c:pt idx="12">
                  <c:v>4850627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D6D-4785-B4A5-41D4E27CE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D6D-4785-B4A5-41D4E27CEF5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371020</c:v>
                      </c:pt>
                      <c:pt idx="1">
                        <c:v>348572</c:v>
                      </c:pt>
                      <c:pt idx="2">
                        <c:v>182964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39763</c:v>
                      </c:pt>
                      <c:pt idx="8">
                        <c:v>30652</c:v>
                      </c:pt>
                      <c:pt idx="9">
                        <c:v>32753</c:v>
                      </c:pt>
                      <c:pt idx="10">
                        <c:v>58172</c:v>
                      </c:pt>
                      <c:pt idx="11">
                        <c:v>59517</c:v>
                      </c:pt>
                      <c:pt idx="12">
                        <c:v>1173619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D6D-4785-B4A5-41D4E27CEF5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D6D-4785-B4A5-41D4E27CEF5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D6D-4785-B4A5-41D4E27CEF5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D6D-4785-B4A5-41D4E27CEF5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D6D-4785-B4A5-41D4E27CEF5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D6D-4785-B4A5-41D4E27CEF5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D6D-4785-B4A5-41D4E27CEF5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D6D-4785-B4A5-41D4E27CEF5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D6D-4785-B4A5-41D4E27CEF5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D6D-4785-B4A5-41D4E27CEF5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D6D-4785-B4A5-41D4E27CEF5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D6D-4785-B4A5-41D4E27CEF5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D6D-4785-B4A5-41D4E27CEF5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D6D-4785-B4A5-41D4E27CEF55}"/>
              </c:ext>
            </c:extLst>
          </c:dPt>
          <c:cat>
            <c:strRef>
              <c:f>'Pernoctaciones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TF'!$N$119:$N$131</c:f>
              <c:numCache>
                <c:formatCode>0.0%</c:formatCode>
                <c:ptCount val="13"/>
                <c:pt idx="0">
                  <c:v>6.55892662950881E-2</c:v>
                </c:pt>
                <c:pt idx="1">
                  <c:v>-1.1602966882411248E-2</c:v>
                </c:pt>
                <c:pt idx="2">
                  <c:v>-1.1261642213698408E-2</c:v>
                </c:pt>
                <c:pt idx="3">
                  <c:v>-9.6869581372306168E-2</c:v>
                </c:pt>
                <c:pt idx="4">
                  <c:v>2.1919829029116045E-2</c:v>
                </c:pt>
                <c:pt idx="5">
                  <c:v>1.7502453920820171E-2</c:v>
                </c:pt>
                <c:pt idx="6">
                  <c:v>7.9905158535018561E-3</c:v>
                </c:pt>
                <c:pt idx="7">
                  <c:v>-2.4113633868063866E-2</c:v>
                </c:pt>
                <c:pt idx="8">
                  <c:v>-1.8046827388714548E-2</c:v>
                </c:pt>
                <c:pt idx="9">
                  <c:v>6.0637003957448421E-2</c:v>
                </c:pt>
                <c:pt idx="10">
                  <c:v>-9.3078936666227685E-3</c:v>
                </c:pt>
                <c:pt idx="11">
                  <c:v>-2.8277132568278684E-2</c:v>
                </c:pt>
                <c:pt idx="12">
                  <c:v>-1.7030596624504346E-3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D6D-4785-B4A5-41D4E27CE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8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C8-422A-913F-69DFBA347676}"/>
              </c:ext>
            </c:extLst>
          </c:dPt>
          <c:val>
            <c:numRef>
              <c:f>'Pernoctaciones evol mensu TF'!$I$141:$I$153</c:f>
              <c:numCache>
                <c:formatCode>#,##0</c:formatCode>
                <c:ptCount val="13"/>
                <c:pt idx="0">
                  <c:v>34751</c:v>
                </c:pt>
                <c:pt idx="1">
                  <c:v>41108</c:v>
                </c:pt>
                <c:pt idx="2">
                  <c:v>34033</c:v>
                </c:pt>
                <c:pt idx="3">
                  <c:v>29401</c:v>
                </c:pt>
                <c:pt idx="4">
                  <c:v>17791</c:v>
                </c:pt>
                <c:pt idx="5">
                  <c:v>23745</c:v>
                </c:pt>
                <c:pt idx="6">
                  <c:v>20984</c:v>
                </c:pt>
                <c:pt idx="7">
                  <c:v>24723</c:v>
                </c:pt>
                <c:pt idx="8">
                  <c:v>27751</c:v>
                </c:pt>
                <c:pt idx="9">
                  <c:v>29023</c:v>
                </c:pt>
                <c:pt idx="10">
                  <c:v>37370</c:v>
                </c:pt>
                <c:pt idx="11">
                  <c:v>37684</c:v>
                </c:pt>
                <c:pt idx="12">
                  <c:v>358364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C8-422A-913F-69DFBA347676}"/>
            </c:ext>
          </c:extLst>
        </c:ser>
        <c:ser>
          <c:idx val="0"/>
          <c:order val="2"/>
          <c:tx>
            <c:strRef>
              <c:f>'Pernoctaciones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FC8-422A-913F-69DFBA34767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TF'!$K$141:$K$153</c:f>
              <c:numCache>
                <c:formatCode>#,##0</c:formatCode>
                <c:ptCount val="13"/>
                <c:pt idx="0">
                  <c:v>33149</c:v>
                </c:pt>
                <c:pt idx="1">
                  <c:v>38403</c:v>
                </c:pt>
                <c:pt idx="2">
                  <c:v>36177</c:v>
                </c:pt>
                <c:pt idx="3">
                  <c:v>30259</c:v>
                </c:pt>
                <c:pt idx="4">
                  <c:v>18366</c:v>
                </c:pt>
                <c:pt idx="5">
                  <c:v>18611</c:v>
                </c:pt>
                <c:pt idx="6">
                  <c:v>21458</c:v>
                </c:pt>
                <c:pt idx="7">
                  <c:v>25592</c:v>
                </c:pt>
                <c:pt idx="8">
                  <c:v>23085</c:v>
                </c:pt>
                <c:pt idx="9">
                  <c:v>30463</c:v>
                </c:pt>
                <c:pt idx="10">
                  <c:v>40648</c:v>
                </c:pt>
                <c:pt idx="11">
                  <c:v>41905</c:v>
                </c:pt>
                <c:pt idx="12">
                  <c:v>358116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C8-422A-913F-69DFBA347676}"/>
            </c:ext>
          </c:extLst>
        </c:ser>
        <c:ser>
          <c:idx val="1"/>
          <c:order val="3"/>
          <c:tx>
            <c:strRef>
              <c:f>'Pernoctaciones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C8-422A-913F-69DFBA34767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FC8-422A-913F-69DFBA34767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TF'!$M$141:$M$153</c:f>
              <c:numCache>
                <c:formatCode>#,##0</c:formatCode>
                <c:ptCount val="13"/>
                <c:pt idx="0">
                  <c:v>33405</c:v>
                </c:pt>
                <c:pt idx="1">
                  <c:v>32430</c:v>
                </c:pt>
                <c:pt idx="2">
                  <c:v>34895</c:v>
                </c:pt>
                <c:pt idx="3">
                  <c:v>32073</c:v>
                </c:pt>
                <c:pt idx="4">
                  <c:v>19038</c:v>
                </c:pt>
                <c:pt idx="5">
                  <c:v>24240</c:v>
                </c:pt>
                <c:pt idx="6">
                  <c:v>24820</c:v>
                </c:pt>
                <c:pt idx="7">
                  <c:v>28794</c:v>
                </c:pt>
                <c:pt idx="8">
                  <c:v>27143</c:v>
                </c:pt>
                <c:pt idx="9">
                  <c:v>33053</c:v>
                </c:pt>
                <c:pt idx="10">
                  <c:v>43964</c:v>
                </c:pt>
                <c:pt idx="11">
                  <c:v>42165</c:v>
                </c:pt>
                <c:pt idx="12">
                  <c:v>376020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FC8-422A-913F-69DFBA347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FC8-422A-913F-69DFBA34767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44550</c:v>
                      </c:pt>
                      <c:pt idx="1">
                        <c:v>43433</c:v>
                      </c:pt>
                      <c:pt idx="2">
                        <c:v>17711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9610</c:v>
                      </c:pt>
                      <c:pt idx="8">
                        <c:v>2711</c:v>
                      </c:pt>
                      <c:pt idx="9">
                        <c:v>1419</c:v>
                      </c:pt>
                      <c:pt idx="10">
                        <c:v>6113</c:v>
                      </c:pt>
                      <c:pt idx="11">
                        <c:v>7245</c:v>
                      </c:pt>
                      <c:pt idx="12">
                        <c:v>139836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FC8-422A-913F-69DFBA34767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FC8-422A-913F-69DFBA34767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FC8-422A-913F-69DFBA34767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FC8-422A-913F-69DFBA34767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FC8-422A-913F-69DFBA34767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FC8-422A-913F-69DFBA34767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FC8-422A-913F-69DFBA34767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FC8-422A-913F-69DFBA34767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FC8-422A-913F-69DFBA34767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FC8-422A-913F-69DFBA34767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FC8-422A-913F-69DFBA34767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FC8-422A-913F-69DFBA34767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FC8-422A-913F-69DFBA34767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FC8-422A-913F-69DFBA347676}"/>
              </c:ext>
            </c:extLst>
          </c:dPt>
          <c:cat>
            <c:strRef>
              <c:f>'Pernoctaciones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TF'!$N$141:$N$153</c:f>
              <c:numCache>
                <c:formatCode>0.0%</c:formatCode>
                <c:ptCount val="13"/>
                <c:pt idx="0">
                  <c:v>7.7227065673173279E-3</c:v>
                </c:pt>
                <c:pt idx="1">
                  <c:v>-0.15553472384969924</c:v>
                </c:pt>
                <c:pt idx="2">
                  <c:v>-3.5436879785499031E-2</c:v>
                </c:pt>
                <c:pt idx="3">
                  <c:v>5.994910605109216E-2</c:v>
                </c:pt>
                <c:pt idx="4">
                  <c:v>3.6589349885658207E-2</c:v>
                </c:pt>
                <c:pt idx="5">
                  <c:v>0.30245553704798245</c:v>
                </c:pt>
                <c:pt idx="6">
                  <c:v>0.15667816199086593</c:v>
                </c:pt>
                <c:pt idx="7">
                  <c:v>0.12511722413254134</c:v>
                </c:pt>
                <c:pt idx="8">
                  <c:v>0.17578514186701311</c:v>
                </c:pt>
                <c:pt idx="9">
                  <c:v>8.5021173226537128E-2</c:v>
                </c:pt>
                <c:pt idx="10">
                  <c:v>8.1578429443023071E-2</c:v>
                </c:pt>
                <c:pt idx="11">
                  <c:v>6.2045102016465847E-3</c:v>
                </c:pt>
                <c:pt idx="12">
                  <c:v>4.9994973695673961E-2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FC8-422A-913F-69DFBA347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59-4553-B0C2-F1D014C59496}"/>
              </c:ext>
            </c:extLst>
          </c:dPt>
          <c:val>
            <c:numRef>
              <c:f>'Viajeros entr evol mensu TF'!$I$75:$I$87</c:f>
              <c:numCache>
                <c:formatCode>#,##0</c:formatCode>
                <c:ptCount val="13"/>
                <c:pt idx="0">
                  <c:v>1425</c:v>
                </c:pt>
                <c:pt idx="1">
                  <c:v>1394</c:v>
                </c:pt>
                <c:pt idx="2">
                  <c:v>2041</c:v>
                </c:pt>
                <c:pt idx="3">
                  <c:v>5699</c:v>
                </c:pt>
                <c:pt idx="4">
                  <c:v>3887</c:v>
                </c:pt>
                <c:pt idx="5">
                  <c:v>5607</c:v>
                </c:pt>
                <c:pt idx="6">
                  <c:v>7578</c:v>
                </c:pt>
                <c:pt idx="7">
                  <c:v>10458</c:v>
                </c:pt>
                <c:pt idx="8">
                  <c:v>4631</c:v>
                </c:pt>
                <c:pt idx="9">
                  <c:v>4345</c:v>
                </c:pt>
                <c:pt idx="10">
                  <c:v>2742</c:v>
                </c:pt>
                <c:pt idx="11">
                  <c:v>2803</c:v>
                </c:pt>
                <c:pt idx="12">
                  <c:v>52610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59-4553-B0C2-F1D014C59496}"/>
            </c:ext>
          </c:extLst>
        </c:ser>
        <c:ser>
          <c:idx val="0"/>
          <c:order val="2"/>
          <c:tx>
            <c:strRef>
              <c:f>'Viajeros entr evol mensu TF'!$K$73:$L$73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B59-4553-B0C2-F1D014C5949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TF'!$K$75:$K$87</c:f>
              <c:numCache>
                <c:formatCode>#,##0</c:formatCode>
                <c:ptCount val="13"/>
                <c:pt idx="0">
                  <c:v>1161</c:v>
                </c:pt>
                <c:pt idx="1">
                  <c:v>1755</c:v>
                </c:pt>
                <c:pt idx="2">
                  <c:v>3915</c:v>
                </c:pt>
                <c:pt idx="3">
                  <c:v>3939</c:v>
                </c:pt>
                <c:pt idx="4">
                  <c:v>4139</c:v>
                </c:pt>
                <c:pt idx="5">
                  <c:v>5107</c:v>
                </c:pt>
                <c:pt idx="6">
                  <c:v>6983</c:v>
                </c:pt>
                <c:pt idx="7">
                  <c:v>9751</c:v>
                </c:pt>
                <c:pt idx="8">
                  <c:v>4675</c:v>
                </c:pt>
                <c:pt idx="9">
                  <c:v>4003</c:v>
                </c:pt>
                <c:pt idx="10">
                  <c:v>2054</c:v>
                </c:pt>
                <c:pt idx="11">
                  <c:v>2740</c:v>
                </c:pt>
                <c:pt idx="12">
                  <c:v>50222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59-4553-B0C2-F1D014C59496}"/>
            </c:ext>
          </c:extLst>
        </c:ser>
        <c:ser>
          <c:idx val="1"/>
          <c:order val="3"/>
          <c:tx>
            <c:strRef>
              <c:f>'Viajeros entr evol mensu TF'!$M$73:$N$73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B59-4553-B0C2-F1D014C5949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FB59-4553-B0C2-F1D014C59496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TF'!$M$75:$M$87</c:f>
              <c:numCache>
                <c:formatCode>#,##0</c:formatCode>
                <c:ptCount val="13"/>
                <c:pt idx="0">
                  <c:v>1783</c:v>
                </c:pt>
                <c:pt idx="1">
                  <c:v>2075</c:v>
                </c:pt>
                <c:pt idx="2">
                  <c:v>1959</c:v>
                </c:pt>
                <c:pt idx="3">
                  <c:v>6175</c:v>
                </c:pt>
                <c:pt idx="4">
                  <c:v>3706</c:v>
                </c:pt>
                <c:pt idx="5">
                  <c:v>4663</c:v>
                </c:pt>
                <c:pt idx="6">
                  <c:v>6163</c:v>
                </c:pt>
                <c:pt idx="7">
                  <c:v>8770</c:v>
                </c:pt>
                <c:pt idx="8">
                  <c:v>5969</c:v>
                </c:pt>
                <c:pt idx="9">
                  <c:v>4792</c:v>
                </c:pt>
                <c:pt idx="10">
                  <c:v>2135</c:v>
                </c:pt>
                <c:pt idx="11">
                  <c:v>3218</c:v>
                </c:pt>
                <c:pt idx="12">
                  <c:v>51408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B59-4553-B0C2-F1D014C59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FB59-4553-B0C2-F1D014C5949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1922</c:v>
                      </c:pt>
                      <c:pt idx="1">
                        <c:v>2293</c:v>
                      </c:pt>
                      <c:pt idx="2">
                        <c:v>864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6964</c:v>
                      </c:pt>
                      <c:pt idx="8">
                        <c:v>4100</c:v>
                      </c:pt>
                      <c:pt idx="9">
                        <c:v>4409</c:v>
                      </c:pt>
                      <c:pt idx="10">
                        <c:v>1437</c:v>
                      </c:pt>
                      <c:pt idx="11">
                        <c:v>1300</c:v>
                      </c:pt>
                      <c:pt idx="12">
                        <c:v>24912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FB59-4553-B0C2-F1D014C5949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FB59-4553-B0C2-F1D014C5949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FB59-4553-B0C2-F1D014C5949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FB59-4553-B0C2-F1D014C5949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FB59-4553-B0C2-F1D014C5949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FB59-4553-B0C2-F1D014C5949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FB59-4553-B0C2-F1D014C5949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FB59-4553-B0C2-F1D014C5949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FB59-4553-B0C2-F1D014C5949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FB59-4553-B0C2-F1D014C5949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FB59-4553-B0C2-F1D014C5949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FB59-4553-B0C2-F1D014C5949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FB59-4553-B0C2-F1D014C5949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FB59-4553-B0C2-F1D014C59496}"/>
              </c:ext>
            </c:extLst>
          </c:dPt>
          <c:cat>
            <c:strRef>
              <c:f>'Viajeros entr evol mensu TF'!$B$75:$B$86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TF'!$N$75:$N$87</c:f>
              <c:numCache>
                <c:formatCode>0.0%</c:formatCode>
                <c:ptCount val="13"/>
                <c:pt idx="0">
                  <c:v>0.53574504737295436</c:v>
                </c:pt>
                <c:pt idx="1">
                  <c:v>0.18233618233618243</c:v>
                </c:pt>
                <c:pt idx="2">
                  <c:v>-0.49961685823754787</c:v>
                </c:pt>
                <c:pt idx="3">
                  <c:v>0.56765676567656764</c:v>
                </c:pt>
                <c:pt idx="4">
                  <c:v>-0.10461464121768538</c:v>
                </c:pt>
                <c:pt idx="5">
                  <c:v>-8.6939494811043683E-2</c:v>
                </c:pt>
                <c:pt idx="6">
                  <c:v>-0.1174280395245596</c:v>
                </c:pt>
                <c:pt idx="7">
                  <c:v>-0.10060506614706188</c:v>
                </c:pt>
                <c:pt idx="8">
                  <c:v>0.27679144385026744</c:v>
                </c:pt>
                <c:pt idx="9">
                  <c:v>0.19710217336997249</c:v>
                </c:pt>
                <c:pt idx="10">
                  <c:v>3.9435248296007863E-2</c:v>
                </c:pt>
                <c:pt idx="11">
                  <c:v>0.17445255474452548</c:v>
                </c:pt>
                <c:pt idx="12">
                  <c:v>2.3615148739596137E-2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B59-4553-B0C2-F1D014C59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3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99-46F9-A518-B9B60F54EB8F}"/>
              </c:ext>
            </c:extLst>
          </c:dPt>
          <c:val>
            <c:numRef>
              <c:f>'Pernoctaciones evol mensu TF'!$I$163:$I$175</c:f>
              <c:numCache>
                <c:formatCode>#,##0</c:formatCode>
                <c:ptCount val="13"/>
                <c:pt idx="0">
                  <c:v>19000</c:v>
                </c:pt>
                <c:pt idx="1">
                  <c:v>20172</c:v>
                </c:pt>
                <c:pt idx="2">
                  <c:v>20521</c:v>
                </c:pt>
                <c:pt idx="3">
                  <c:v>24238</c:v>
                </c:pt>
                <c:pt idx="4">
                  <c:v>19331</c:v>
                </c:pt>
                <c:pt idx="5">
                  <c:v>16213</c:v>
                </c:pt>
                <c:pt idx="6">
                  <c:v>16776</c:v>
                </c:pt>
                <c:pt idx="7">
                  <c:v>28351</c:v>
                </c:pt>
                <c:pt idx="8">
                  <c:v>19988</c:v>
                </c:pt>
                <c:pt idx="9">
                  <c:v>23246</c:v>
                </c:pt>
                <c:pt idx="10">
                  <c:v>20932</c:v>
                </c:pt>
                <c:pt idx="11">
                  <c:v>19000</c:v>
                </c:pt>
                <c:pt idx="12">
                  <c:v>247768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99-46F9-A518-B9B60F54EB8F}"/>
            </c:ext>
          </c:extLst>
        </c:ser>
        <c:ser>
          <c:idx val="0"/>
          <c:order val="2"/>
          <c:tx>
            <c:strRef>
              <c:f>'Pernoctaciones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199-46F9-A518-B9B60F54EB8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TF'!$K$163:$K$175</c:f>
              <c:numCache>
                <c:formatCode>#,##0</c:formatCode>
                <c:ptCount val="13"/>
                <c:pt idx="0">
                  <c:v>18969</c:v>
                </c:pt>
                <c:pt idx="1">
                  <c:v>19532</c:v>
                </c:pt>
                <c:pt idx="2">
                  <c:v>19164</c:v>
                </c:pt>
                <c:pt idx="3">
                  <c:v>23046</c:v>
                </c:pt>
                <c:pt idx="4">
                  <c:v>18795</c:v>
                </c:pt>
                <c:pt idx="5">
                  <c:v>18025</c:v>
                </c:pt>
                <c:pt idx="6">
                  <c:v>21516</c:v>
                </c:pt>
                <c:pt idx="7">
                  <c:v>28603</c:v>
                </c:pt>
                <c:pt idx="8">
                  <c:v>18074</c:v>
                </c:pt>
                <c:pt idx="9">
                  <c:v>21587</c:v>
                </c:pt>
                <c:pt idx="10">
                  <c:v>18655</c:v>
                </c:pt>
                <c:pt idx="11">
                  <c:v>19682</c:v>
                </c:pt>
                <c:pt idx="12">
                  <c:v>245648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99-46F9-A518-B9B60F54EB8F}"/>
            </c:ext>
          </c:extLst>
        </c:ser>
        <c:ser>
          <c:idx val="1"/>
          <c:order val="3"/>
          <c:tx>
            <c:strRef>
              <c:f>'Pernoctaciones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99-46F9-A518-B9B60F54EB8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199-46F9-A518-B9B60F54EB8F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TF'!$M$163:$M$175</c:f>
              <c:numCache>
                <c:formatCode>#,##0</c:formatCode>
                <c:ptCount val="13"/>
                <c:pt idx="0">
                  <c:v>20765</c:v>
                </c:pt>
                <c:pt idx="1">
                  <c:v>23537</c:v>
                </c:pt>
                <c:pt idx="2">
                  <c:v>20641</c:v>
                </c:pt>
                <c:pt idx="3">
                  <c:v>18693</c:v>
                </c:pt>
                <c:pt idx="4">
                  <c:v>17212</c:v>
                </c:pt>
                <c:pt idx="5">
                  <c:v>15950</c:v>
                </c:pt>
                <c:pt idx="6">
                  <c:v>22140</c:v>
                </c:pt>
                <c:pt idx="7">
                  <c:v>31303</c:v>
                </c:pt>
                <c:pt idx="8">
                  <c:v>17557</c:v>
                </c:pt>
                <c:pt idx="9">
                  <c:v>21510</c:v>
                </c:pt>
                <c:pt idx="10">
                  <c:v>18302</c:v>
                </c:pt>
                <c:pt idx="11">
                  <c:v>19820</c:v>
                </c:pt>
                <c:pt idx="12">
                  <c:v>247430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199-46F9-A518-B9B60F54E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199-46F9-A518-B9B60F54EB8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18130</c:v>
                      </c:pt>
                      <c:pt idx="1">
                        <c:v>19669</c:v>
                      </c:pt>
                      <c:pt idx="2">
                        <c:v>5819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7582</c:v>
                      </c:pt>
                      <c:pt idx="8">
                        <c:v>2424</c:v>
                      </c:pt>
                      <c:pt idx="9">
                        <c:v>7424</c:v>
                      </c:pt>
                      <c:pt idx="10">
                        <c:v>1425</c:v>
                      </c:pt>
                      <c:pt idx="11">
                        <c:v>3667</c:v>
                      </c:pt>
                      <c:pt idx="12">
                        <c:v>67848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199-46F9-A518-B9B60F54EB8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199-46F9-A518-B9B60F54EB8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199-46F9-A518-B9B60F54EB8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199-46F9-A518-B9B60F54EB8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199-46F9-A518-B9B60F54EB8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199-46F9-A518-B9B60F54EB8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199-46F9-A518-B9B60F54EB8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199-46F9-A518-B9B60F54EB8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199-46F9-A518-B9B60F54EB8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199-46F9-A518-B9B60F54EB8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199-46F9-A518-B9B60F54EB8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199-46F9-A518-B9B60F54EB8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199-46F9-A518-B9B60F54EB8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199-46F9-A518-B9B60F54EB8F}"/>
              </c:ext>
            </c:extLst>
          </c:dPt>
          <c:cat>
            <c:strRef>
              <c:f>'Pernoctaciones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TF'!$N$163:$N$175</c:f>
              <c:numCache>
                <c:formatCode>0.0%</c:formatCode>
                <c:ptCount val="13"/>
                <c:pt idx="0">
                  <c:v>9.4680794981285343E-2</c:v>
                </c:pt>
                <c:pt idx="1">
                  <c:v>0.20504812615195567</c:v>
                </c:pt>
                <c:pt idx="2">
                  <c:v>7.7071592569400993E-2</c:v>
                </c:pt>
                <c:pt idx="3">
                  <c:v>-0.18888310335850034</c:v>
                </c:pt>
                <c:pt idx="4">
                  <c:v>-8.4224527799946824E-2</c:v>
                </c:pt>
                <c:pt idx="5">
                  <c:v>-0.11511789181692089</c:v>
                </c:pt>
                <c:pt idx="6">
                  <c:v>2.9001673173452369E-2</c:v>
                </c:pt>
                <c:pt idx="7">
                  <c:v>9.439569275950066E-2</c:v>
                </c:pt>
                <c:pt idx="8">
                  <c:v>-2.8604625428792718E-2</c:v>
                </c:pt>
                <c:pt idx="9">
                  <c:v>-3.5669615972575563E-3</c:v>
                </c:pt>
                <c:pt idx="10">
                  <c:v>-1.8922540873760441E-2</c:v>
                </c:pt>
                <c:pt idx="11">
                  <c:v>7.0114825729092889E-3</c:v>
                </c:pt>
                <c:pt idx="12">
                  <c:v>7.2542825506416442E-3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199-46F9-A518-B9B60F54E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D1-4223-B83E-0D1C58E3B846}"/>
              </c:ext>
            </c:extLst>
          </c:dPt>
          <c:val>
            <c:numRef>
              <c:f>'Pernoctaciones evol mensu TF'!$I$185:$I$197</c:f>
              <c:numCache>
                <c:formatCode>#,##0</c:formatCode>
                <c:ptCount val="13"/>
                <c:pt idx="0">
                  <c:v>34084</c:v>
                </c:pt>
                <c:pt idx="1">
                  <c:v>28094</c:v>
                </c:pt>
                <c:pt idx="2">
                  <c:v>24451</c:v>
                </c:pt>
                <c:pt idx="3">
                  <c:v>29765</c:v>
                </c:pt>
                <c:pt idx="4">
                  <c:v>28163</c:v>
                </c:pt>
                <c:pt idx="5">
                  <c:v>26526</c:v>
                </c:pt>
                <c:pt idx="6">
                  <c:v>33458</c:v>
                </c:pt>
                <c:pt idx="7">
                  <c:v>31558</c:v>
                </c:pt>
                <c:pt idx="8">
                  <c:v>33205</c:v>
                </c:pt>
                <c:pt idx="9">
                  <c:v>34381</c:v>
                </c:pt>
                <c:pt idx="10">
                  <c:v>31295</c:v>
                </c:pt>
                <c:pt idx="11">
                  <c:v>39946</c:v>
                </c:pt>
                <c:pt idx="12">
                  <c:v>374926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D1-4223-B83E-0D1C58E3B846}"/>
            </c:ext>
          </c:extLst>
        </c:ser>
        <c:ser>
          <c:idx val="0"/>
          <c:order val="2"/>
          <c:tx>
            <c:strRef>
              <c:f>'Pernoctaciones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AD1-4223-B83E-0D1C58E3B84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TF'!$K$185:$K$197</c:f>
              <c:numCache>
                <c:formatCode>#,##0</c:formatCode>
                <c:ptCount val="13"/>
                <c:pt idx="0">
                  <c:v>36621</c:v>
                </c:pt>
                <c:pt idx="1">
                  <c:v>31556</c:v>
                </c:pt>
                <c:pt idx="2">
                  <c:v>29418</c:v>
                </c:pt>
                <c:pt idx="3">
                  <c:v>34774</c:v>
                </c:pt>
                <c:pt idx="4">
                  <c:v>25349</c:v>
                </c:pt>
                <c:pt idx="5">
                  <c:v>22751</c:v>
                </c:pt>
                <c:pt idx="6">
                  <c:v>32743</c:v>
                </c:pt>
                <c:pt idx="7">
                  <c:v>29115</c:v>
                </c:pt>
                <c:pt idx="8">
                  <c:v>26955</c:v>
                </c:pt>
                <c:pt idx="9">
                  <c:v>32149</c:v>
                </c:pt>
                <c:pt idx="10">
                  <c:v>30599</c:v>
                </c:pt>
                <c:pt idx="11">
                  <c:v>40752</c:v>
                </c:pt>
                <c:pt idx="12">
                  <c:v>372782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D1-4223-B83E-0D1C58E3B846}"/>
            </c:ext>
          </c:extLst>
        </c:ser>
        <c:ser>
          <c:idx val="1"/>
          <c:order val="3"/>
          <c:tx>
            <c:strRef>
              <c:f>'Pernoctaciones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D1-4223-B83E-0D1C58E3B84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D1-4223-B83E-0D1C58E3B846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TF'!$M$185:$M$197</c:f>
              <c:numCache>
                <c:formatCode>#,##0</c:formatCode>
                <c:ptCount val="13"/>
                <c:pt idx="0">
                  <c:v>29962</c:v>
                </c:pt>
                <c:pt idx="1">
                  <c:v>26211</c:v>
                </c:pt>
                <c:pt idx="2">
                  <c:v>28764</c:v>
                </c:pt>
                <c:pt idx="3">
                  <c:v>20575</c:v>
                </c:pt>
                <c:pt idx="4">
                  <c:v>25287</c:v>
                </c:pt>
                <c:pt idx="5">
                  <c:v>24911</c:v>
                </c:pt>
                <c:pt idx="6">
                  <c:v>30696</c:v>
                </c:pt>
                <c:pt idx="7">
                  <c:v>26398</c:v>
                </c:pt>
                <c:pt idx="8">
                  <c:v>29961</c:v>
                </c:pt>
                <c:pt idx="9">
                  <c:v>31437</c:v>
                </c:pt>
                <c:pt idx="10">
                  <c:v>29879</c:v>
                </c:pt>
                <c:pt idx="11">
                  <c:v>34793</c:v>
                </c:pt>
                <c:pt idx="12">
                  <c:v>338874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AD1-4223-B83E-0D1C58E3B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AD1-4223-B83E-0D1C58E3B84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37400</c:v>
                      </c:pt>
                      <c:pt idx="1">
                        <c:v>29154</c:v>
                      </c:pt>
                      <c:pt idx="2">
                        <c:v>14426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11092</c:v>
                      </c:pt>
                      <c:pt idx="8">
                        <c:v>17306</c:v>
                      </c:pt>
                      <c:pt idx="9">
                        <c:v>8123</c:v>
                      </c:pt>
                      <c:pt idx="10">
                        <c:v>3107</c:v>
                      </c:pt>
                      <c:pt idx="11">
                        <c:v>4175</c:v>
                      </c:pt>
                      <c:pt idx="12">
                        <c:v>131712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AD1-4223-B83E-0D1C58E3B84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AD1-4223-B83E-0D1C58E3B84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AD1-4223-B83E-0D1C58E3B84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AD1-4223-B83E-0D1C58E3B84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AD1-4223-B83E-0D1C58E3B84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AD1-4223-B83E-0D1C58E3B84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AD1-4223-B83E-0D1C58E3B84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AD1-4223-B83E-0D1C58E3B84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AD1-4223-B83E-0D1C58E3B84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AD1-4223-B83E-0D1C58E3B84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AD1-4223-B83E-0D1C58E3B84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AD1-4223-B83E-0D1C58E3B84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AD1-4223-B83E-0D1C58E3B84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AD1-4223-B83E-0D1C58E3B846}"/>
              </c:ext>
            </c:extLst>
          </c:dPt>
          <c:cat>
            <c:strRef>
              <c:f>'Pernoctaciones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TF'!$N$185:$N$197</c:f>
              <c:numCache>
                <c:formatCode>0.0%</c:formatCode>
                <c:ptCount val="13"/>
                <c:pt idx="0">
                  <c:v>-0.18183555883236391</c:v>
                </c:pt>
                <c:pt idx="1">
                  <c:v>-0.16938141716313859</c:v>
                </c:pt>
                <c:pt idx="2">
                  <c:v>-2.2231286967162922E-2</c:v>
                </c:pt>
                <c:pt idx="3">
                  <c:v>-0.4083223097716685</c:v>
                </c:pt>
                <c:pt idx="4">
                  <c:v>-2.445855852301837E-3</c:v>
                </c:pt>
                <c:pt idx="5">
                  <c:v>9.4940881719484782E-2</c:v>
                </c:pt>
                <c:pt idx="6">
                  <c:v>-6.2517179244418686E-2</c:v>
                </c:pt>
                <c:pt idx="7">
                  <c:v>-9.3319594710630227E-2</c:v>
                </c:pt>
                <c:pt idx="8">
                  <c:v>0.11151919866444082</c:v>
                </c:pt>
                <c:pt idx="9">
                  <c:v>-2.2146878596534858E-2</c:v>
                </c:pt>
                <c:pt idx="10">
                  <c:v>-2.3530180724860239E-2</c:v>
                </c:pt>
                <c:pt idx="11">
                  <c:v>-0.14622595210051037</c:v>
                </c:pt>
                <c:pt idx="12">
                  <c:v>-9.0959327435337523E-2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AD1-4223-B83E-0D1C58E3B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DC-4D0A-B2DC-41C6B1AF50E9}"/>
              </c:ext>
            </c:extLst>
          </c:dPt>
          <c:val>
            <c:numRef>
              <c:f>'Pernoctaciones evol mensu TF'!$I$207:$I$219</c:f>
              <c:numCache>
                <c:formatCode>#,##0</c:formatCode>
                <c:ptCount val="13"/>
                <c:pt idx="0">
                  <c:v>37744</c:v>
                </c:pt>
                <c:pt idx="1">
                  <c:v>38159</c:v>
                </c:pt>
                <c:pt idx="2">
                  <c:v>34053</c:v>
                </c:pt>
                <c:pt idx="3">
                  <c:v>39077</c:v>
                </c:pt>
                <c:pt idx="4">
                  <c:v>38759</c:v>
                </c:pt>
                <c:pt idx="5">
                  <c:v>38151</c:v>
                </c:pt>
                <c:pt idx="6">
                  <c:v>46475</c:v>
                </c:pt>
                <c:pt idx="7">
                  <c:v>60423</c:v>
                </c:pt>
                <c:pt idx="8">
                  <c:v>45100</c:v>
                </c:pt>
                <c:pt idx="9">
                  <c:v>47048</c:v>
                </c:pt>
                <c:pt idx="10">
                  <c:v>36228</c:v>
                </c:pt>
                <c:pt idx="11">
                  <c:v>39875</c:v>
                </c:pt>
                <c:pt idx="12">
                  <c:v>501092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DC-4D0A-B2DC-41C6B1AF50E9}"/>
            </c:ext>
          </c:extLst>
        </c:ser>
        <c:ser>
          <c:idx val="0"/>
          <c:order val="2"/>
          <c:tx>
            <c:strRef>
              <c:f>'Pernoctaciones evol mensu TF'!$K$205:$L$205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FDC-4D0A-B2DC-41C6B1AF50E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TF'!$K$207:$K$219</c:f>
              <c:numCache>
                <c:formatCode>#,##0</c:formatCode>
                <c:ptCount val="13"/>
                <c:pt idx="0">
                  <c:v>41040</c:v>
                </c:pt>
                <c:pt idx="1">
                  <c:v>40584</c:v>
                </c:pt>
                <c:pt idx="2">
                  <c:v>33027</c:v>
                </c:pt>
                <c:pt idx="3">
                  <c:v>40882</c:v>
                </c:pt>
                <c:pt idx="4">
                  <c:v>41406</c:v>
                </c:pt>
                <c:pt idx="5">
                  <c:v>35459</c:v>
                </c:pt>
                <c:pt idx="6">
                  <c:v>44935</c:v>
                </c:pt>
                <c:pt idx="7">
                  <c:v>53292</c:v>
                </c:pt>
                <c:pt idx="8">
                  <c:v>42045</c:v>
                </c:pt>
                <c:pt idx="9">
                  <c:v>49338</c:v>
                </c:pt>
                <c:pt idx="10">
                  <c:v>38626</c:v>
                </c:pt>
                <c:pt idx="11">
                  <c:v>39037</c:v>
                </c:pt>
                <c:pt idx="12">
                  <c:v>499671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DC-4D0A-B2DC-41C6B1AF50E9}"/>
            </c:ext>
          </c:extLst>
        </c:ser>
        <c:ser>
          <c:idx val="1"/>
          <c:order val="3"/>
          <c:tx>
            <c:strRef>
              <c:f>'Pernoctaciones evol mensu TF'!$M$205:$N$205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DC-4D0A-B2DC-41C6B1AF50E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DC-4D0A-B2DC-41C6B1AF50E9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TF'!$M$207:$M$219</c:f>
              <c:numCache>
                <c:formatCode>#,##0</c:formatCode>
                <c:ptCount val="13"/>
                <c:pt idx="0">
                  <c:v>35525</c:v>
                </c:pt>
                <c:pt idx="1">
                  <c:v>39705</c:v>
                </c:pt>
                <c:pt idx="2">
                  <c:v>35886</c:v>
                </c:pt>
                <c:pt idx="3">
                  <c:v>34317</c:v>
                </c:pt>
                <c:pt idx="4">
                  <c:v>32381</c:v>
                </c:pt>
                <c:pt idx="5">
                  <c:v>31460</c:v>
                </c:pt>
                <c:pt idx="6">
                  <c:v>45115</c:v>
                </c:pt>
                <c:pt idx="7">
                  <c:v>51944</c:v>
                </c:pt>
                <c:pt idx="8">
                  <c:v>43076</c:v>
                </c:pt>
                <c:pt idx="9">
                  <c:v>42491</c:v>
                </c:pt>
                <c:pt idx="10">
                  <c:v>36805</c:v>
                </c:pt>
                <c:pt idx="11">
                  <c:v>35841</c:v>
                </c:pt>
                <c:pt idx="12">
                  <c:v>464546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FDC-4D0A-B2DC-41C6B1AF5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FDC-4D0A-B2DC-41C6B1AF50E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TF'!$C$207:$C$219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36543</c:v>
                      </c:pt>
                      <c:pt idx="1">
                        <c:v>36529</c:v>
                      </c:pt>
                      <c:pt idx="2">
                        <c:v>14903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14171</c:v>
                      </c:pt>
                      <c:pt idx="8">
                        <c:v>592</c:v>
                      </c:pt>
                      <c:pt idx="9">
                        <c:v>1075</c:v>
                      </c:pt>
                      <c:pt idx="10">
                        <c:v>3587</c:v>
                      </c:pt>
                      <c:pt idx="11">
                        <c:v>4288</c:v>
                      </c:pt>
                      <c:pt idx="12">
                        <c:v>124287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FDC-4D0A-B2DC-41C6B1AF50E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TF'!$N$206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FDC-4D0A-B2DC-41C6B1AF50E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FDC-4D0A-B2DC-41C6B1AF50E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FDC-4D0A-B2DC-41C6B1AF50E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FDC-4D0A-B2DC-41C6B1AF50E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FDC-4D0A-B2DC-41C6B1AF50E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FDC-4D0A-B2DC-41C6B1AF50E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FDC-4D0A-B2DC-41C6B1AF50E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FDC-4D0A-B2DC-41C6B1AF50E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FDC-4D0A-B2DC-41C6B1AF50E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FDC-4D0A-B2DC-41C6B1AF50E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FDC-4D0A-B2DC-41C6B1AF50E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FDC-4D0A-B2DC-41C6B1AF50E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FDC-4D0A-B2DC-41C6B1AF50E9}"/>
              </c:ext>
            </c:extLst>
          </c:dPt>
          <c:cat>
            <c:strRef>
              <c:f>'Pernoctaciones evol mensu TF'!$B$207:$B$218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TF'!$N$207:$N$219</c:f>
              <c:numCache>
                <c:formatCode>0.0%</c:formatCode>
                <c:ptCount val="13"/>
                <c:pt idx="0">
                  <c:v>-0.13438109161793377</c:v>
                </c:pt>
                <c:pt idx="1">
                  <c:v>-2.1658781785925507E-2</c:v>
                </c:pt>
                <c:pt idx="2">
                  <c:v>8.6565537287673688E-2</c:v>
                </c:pt>
                <c:pt idx="3">
                  <c:v>-0.16058412015067758</c:v>
                </c:pt>
                <c:pt idx="4">
                  <c:v>-0.21796358015746509</c:v>
                </c:pt>
                <c:pt idx="5">
                  <c:v>-0.11277813813136295</c:v>
                </c:pt>
                <c:pt idx="6">
                  <c:v>4.0057861355291546E-3</c:v>
                </c:pt>
                <c:pt idx="7">
                  <c:v>-2.5294603317571163E-2</c:v>
                </c:pt>
                <c:pt idx="8">
                  <c:v>2.4521346176715531E-2</c:v>
                </c:pt>
                <c:pt idx="9">
                  <c:v>-0.13877741294742385</c:v>
                </c:pt>
                <c:pt idx="10">
                  <c:v>-4.7144410500699063E-2</c:v>
                </c:pt>
                <c:pt idx="11">
                  <c:v>-8.187104541844914E-2</c:v>
                </c:pt>
                <c:pt idx="12">
                  <c:v>-7.029625493574776E-2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FDC-4D0A-B2DC-41C6B1AF5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DB6-4174-9A62-1E85C84D2D17}"/>
              </c:ext>
            </c:extLst>
          </c:dPt>
          <c:val>
            <c:numRef>
              <c:f>'Pernoctaciones evol mensu TF'!$I$229:$I$241</c:f>
              <c:numCache>
                <c:formatCode>#,##0</c:formatCode>
                <c:ptCount val="13"/>
                <c:pt idx="0">
                  <c:v>28081</c:v>
                </c:pt>
                <c:pt idx="1">
                  <c:v>34359</c:v>
                </c:pt>
                <c:pt idx="2">
                  <c:v>32644</c:v>
                </c:pt>
                <c:pt idx="3">
                  <c:v>16479</c:v>
                </c:pt>
                <c:pt idx="4">
                  <c:v>3226</c:v>
                </c:pt>
                <c:pt idx="5">
                  <c:v>4389</c:v>
                </c:pt>
                <c:pt idx="6">
                  <c:v>3898</c:v>
                </c:pt>
                <c:pt idx="7">
                  <c:v>3011</c:v>
                </c:pt>
                <c:pt idx="8">
                  <c:v>3511</c:v>
                </c:pt>
                <c:pt idx="9">
                  <c:v>13071</c:v>
                </c:pt>
                <c:pt idx="10">
                  <c:v>23720</c:v>
                </c:pt>
                <c:pt idx="11">
                  <c:v>21949</c:v>
                </c:pt>
                <c:pt idx="12">
                  <c:v>188338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6-4174-9A62-1E85C84D2D17}"/>
            </c:ext>
          </c:extLst>
        </c:ser>
        <c:ser>
          <c:idx val="0"/>
          <c:order val="2"/>
          <c:tx>
            <c:strRef>
              <c:f>'Pernoctaciones evol mensu TF'!$K$227:$L$227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DB6-4174-9A62-1E85C84D2D1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TF'!$K$229:$K$241</c:f>
              <c:numCache>
                <c:formatCode>#,##0</c:formatCode>
                <c:ptCount val="13"/>
                <c:pt idx="0">
                  <c:v>29190</c:v>
                </c:pt>
                <c:pt idx="1">
                  <c:v>31973</c:v>
                </c:pt>
                <c:pt idx="2">
                  <c:v>30472</c:v>
                </c:pt>
                <c:pt idx="3">
                  <c:v>12896</c:v>
                </c:pt>
                <c:pt idx="4">
                  <c:v>4569</c:v>
                </c:pt>
                <c:pt idx="5">
                  <c:v>3883</c:v>
                </c:pt>
                <c:pt idx="6">
                  <c:v>4602</c:v>
                </c:pt>
                <c:pt idx="7">
                  <c:v>3794</c:v>
                </c:pt>
                <c:pt idx="8">
                  <c:v>4211</c:v>
                </c:pt>
                <c:pt idx="9">
                  <c:v>11574</c:v>
                </c:pt>
                <c:pt idx="10">
                  <c:v>24371</c:v>
                </c:pt>
                <c:pt idx="11">
                  <c:v>25573</c:v>
                </c:pt>
                <c:pt idx="12">
                  <c:v>187108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B6-4174-9A62-1E85C84D2D17}"/>
            </c:ext>
          </c:extLst>
        </c:ser>
        <c:ser>
          <c:idx val="1"/>
          <c:order val="3"/>
          <c:tx>
            <c:strRef>
              <c:f>'Pernoctaciones evol mensu TF'!$M$227:$N$227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DB6-4174-9A62-1E85C84D2D1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DB6-4174-9A62-1E85C84D2D17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TF'!$M$229:$M$241</c:f>
              <c:numCache>
                <c:formatCode>#,##0</c:formatCode>
                <c:ptCount val="13"/>
                <c:pt idx="0">
                  <c:v>32181</c:v>
                </c:pt>
                <c:pt idx="1">
                  <c:v>30102</c:v>
                </c:pt>
                <c:pt idx="2">
                  <c:v>31474</c:v>
                </c:pt>
                <c:pt idx="3">
                  <c:v>18959</c:v>
                </c:pt>
                <c:pt idx="4">
                  <c:v>4021</c:v>
                </c:pt>
                <c:pt idx="5">
                  <c:v>3158</c:v>
                </c:pt>
                <c:pt idx="6">
                  <c:v>4771</c:v>
                </c:pt>
                <c:pt idx="7">
                  <c:v>3288</c:v>
                </c:pt>
                <c:pt idx="8">
                  <c:v>3500</c:v>
                </c:pt>
                <c:pt idx="9">
                  <c:v>12468</c:v>
                </c:pt>
                <c:pt idx="10">
                  <c:v>23703</c:v>
                </c:pt>
                <c:pt idx="11">
                  <c:v>20916</c:v>
                </c:pt>
                <c:pt idx="12">
                  <c:v>188541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DB6-4174-9A62-1E85C84D2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DB6-4174-9A62-1E85C84D2D1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TF'!$C$229:$C$241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33066</c:v>
                      </c:pt>
                      <c:pt idx="1">
                        <c:v>34156</c:v>
                      </c:pt>
                      <c:pt idx="2">
                        <c:v>18520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98</c:v>
                      </c:pt>
                      <c:pt idx="8">
                        <c:v>22</c:v>
                      </c:pt>
                      <c:pt idx="9">
                        <c:v>144</c:v>
                      </c:pt>
                      <c:pt idx="10">
                        <c:v>219</c:v>
                      </c:pt>
                      <c:pt idx="11">
                        <c:v>305</c:v>
                      </c:pt>
                      <c:pt idx="12">
                        <c:v>86739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DB6-4174-9A62-1E85C84D2D1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TF'!$N$228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DB6-4174-9A62-1E85C84D2D1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DB6-4174-9A62-1E85C84D2D1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DB6-4174-9A62-1E85C84D2D1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DB6-4174-9A62-1E85C84D2D1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DB6-4174-9A62-1E85C84D2D1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DB6-4174-9A62-1E85C84D2D1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DB6-4174-9A62-1E85C84D2D1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DB6-4174-9A62-1E85C84D2D1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DB6-4174-9A62-1E85C84D2D1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DB6-4174-9A62-1E85C84D2D1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DB6-4174-9A62-1E85C84D2D1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DB6-4174-9A62-1E85C84D2D1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DB6-4174-9A62-1E85C84D2D17}"/>
              </c:ext>
            </c:extLst>
          </c:dPt>
          <c:cat>
            <c:strRef>
              <c:f>'Pernoctaciones evol mensu TF'!$B$229:$B$240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TF'!$N$229:$N$241</c:f>
              <c:numCache>
                <c:formatCode>0.0%</c:formatCode>
                <c:ptCount val="13"/>
                <c:pt idx="0">
                  <c:v>0.10246659815005144</c:v>
                </c:pt>
                <c:pt idx="1">
                  <c:v>-5.8518124667688354E-2</c:v>
                </c:pt>
                <c:pt idx="2">
                  <c:v>3.2882646363874946E-2</c:v>
                </c:pt>
                <c:pt idx="3">
                  <c:v>0.47014578163771703</c:v>
                </c:pt>
                <c:pt idx="4">
                  <c:v>-0.11993871744364193</c:v>
                </c:pt>
                <c:pt idx="5">
                  <c:v>-0.18671130569147565</c:v>
                </c:pt>
                <c:pt idx="6">
                  <c:v>3.672316384180796E-2</c:v>
                </c:pt>
                <c:pt idx="7">
                  <c:v>-0.13336847654190831</c:v>
                </c:pt>
                <c:pt idx="8">
                  <c:v>-0.16884350510567558</c:v>
                </c:pt>
                <c:pt idx="9">
                  <c:v>7.7242094349403878E-2</c:v>
                </c:pt>
                <c:pt idx="10">
                  <c:v>-2.7409626195067927E-2</c:v>
                </c:pt>
                <c:pt idx="11">
                  <c:v>-0.18210612755640709</c:v>
                </c:pt>
                <c:pt idx="12">
                  <c:v>7.6586784103298555E-3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DB6-4174-9A62-1E85C84D2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'Pernoctaciones evol mensu TF'!$I$253:$J$253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17-4956-B3F7-67F2A7C20ACC}"/>
              </c:ext>
            </c:extLst>
          </c:dPt>
          <c:val>
            <c:numRef>
              <c:f>'Pernoctaciones evol mensu TF'!$I$255:$I$267</c:f>
              <c:numCache>
                <c:formatCode>#,##0</c:formatCode>
                <c:ptCount val="13"/>
                <c:pt idx="0">
                  <c:v>36246</c:v>
                </c:pt>
                <c:pt idx="1">
                  <c:v>33395</c:v>
                </c:pt>
                <c:pt idx="2">
                  <c:v>32444</c:v>
                </c:pt>
                <c:pt idx="3">
                  <c:v>16826</c:v>
                </c:pt>
                <c:pt idx="4">
                  <c:v>2087</c:v>
                </c:pt>
                <c:pt idx="5">
                  <c:v>2269</c:v>
                </c:pt>
                <c:pt idx="6">
                  <c:v>2935</c:v>
                </c:pt>
                <c:pt idx="7">
                  <c:v>2710</c:v>
                </c:pt>
                <c:pt idx="8">
                  <c:v>2697</c:v>
                </c:pt>
                <c:pt idx="9">
                  <c:v>13940</c:v>
                </c:pt>
                <c:pt idx="10">
                  <c:v>40654</c:v>
                </c:pt>
                <c:pt idx="11">
                  <c:v>38319</c:v>
                </c:pt>
                <c:pt idx="12">
                  <c:v>224522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17-4956-B3F7-67F2A7C20ACC}"/>
            </c:ext>
          </c:extLst>
        </c:ser>
        <c:ser>
          <c:idx val="0"/>
          <c:order val="2"/>
          <c:tx>
            <c:strRef>
              <c:f>'Pernoctaciones evol mensu TF'!$K$253:$L$253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517-4956-B3F7-67F2A7C20AC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TF'!$K$255:$K$267</c:f>
              <c:numCache>
                <c:formatCode>#,##0</c:formatCode>
                <c:ptCount val="13"/>
                <c:pt idx="0">
                  <c:v>42817</c:v>
                </c:pt>
                <c:pt idx="1">
                  <c:v>37402</c:v>
                </c:pt>
                <c:pt idx="2">
                  <c:v>37795</c:v>
                </c:pt>
                <c:pt idx="3">
                  <c:v>16401</c:v>
                </c:pt>
                <c:pt idx="4">
                  <c:v>973</c:v>
                </c:pt>
                <c:pt idx="5">
                  <c:v>1043</c:v>
                </c:pt>
                <c:pt idx="6">
                  <c:v>781</c:v>
                </c:pt>
                <c:pt idx="7">
                  <c:v>381</c:v>
                </c:pt>
                <c:pt idx="8">
                  <c:v>805</c:v>
                </c:pt>
                <c:pt idx="9">
                  <c:v>12474</c:v>
                </c:pt>
                <c:pt idx="10">
                  <c:v>32066</c:v>
                </c:pt>
                <c:pt idx="11">
                  <c:v>34431</c:v>
                </c:pt>
                <c:pt idx="12">
                  <c:v>217369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17-4956-B3F7-67F2A7C20ACC}"/>
            </c:ext>
          </c:extLst>
        </c:ser>
        <c:ser>
          <c:idx val="1"/>
          <c:order val="3"/>
          <c:tx>
            <c:strRef>
              <c:f>'Pernoctaciones evol mensu TF'!$M$253:$N$253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517-4956-B3F7-67F2A7C20AC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517-4956-B3F7-67F2A7C20ACC}"/>
              </c:ext>
            </c:extLst>
          </c:dPt>
          <c:cat>
            <c:strRef>
              <c:f>'Pernoctaciones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'Pernoctaciones evol mensu TF'!$M$255:$M$267</c:f>
              <c:numCache>
                <c:formatCode>#,##0</c:formatCode>
                <c:ptCount val="13"/>
                <c:pt idx="0">
                  <c:v>40225</c:v>
                </c:pt>
                <c:pt idx="1">
                  <c:v>32015</c:v>
                </c:pt>
                <c:pt idx="2">
                  <c:v>28398</c:v>
                </c:pt>
                <c:pt idx="3">
                  <c:v>14573</c:v>
                </c:pt>
                <c:pt idx="4">
                  <c:v>912</c:v>
                </c:pt>
                <c:pt idx="5">
                  <c:v>962</c:v>
                </c:pt>
                <c:pt idx="6">
                  <c:v>911</c:v>
                </c:pt>
                <c:pt idx="7">
                  <c:v>578</c:v>
                </c:pt>
                <c:pt idx="8">
                  <c:v>984</c:v>
                </c:pt>
                <c:pt idx="9">
                  <c:v>11925</c:v>
                </c:pt>
                <c:pt idx="10">
                  <c:v>26814</c:v>
                </c:pt>
                <c:pt idx="11">
                  <c:v>29558</c:v>
                </c:pt>
                <c:pt idx="12">
                  <c:v>187855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517-4956-B3F7-67F2A7C20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'Pernoctaciones evol mensu TF'!$C$253:$D$253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517-4956-B3F7-67F2A7C20AC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'Pernoctaciones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'Pernoctaciones evol mensu TF'!$C$255:$C$267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62996</c:v>
                      </c:pt>
                      <c:pt idx="1">
                        <c:v>54402</c:v>
                      </c:pt>
                      <c:pt idx="2">
                        <c:v>21399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121</c:v>
                      </c:pt>
                      <c:pt idx="8">
                        <c:v>200</c:v>
                      </c:pt>
                      <c:pt idx="9">
                        <c:v>2086</c:v>
                      </c:pt>
                      <c:pt idx="10">
                        <c:v>4827</c:v>
                      </c:pt>
                      <c:pt idx="11">
                        <c:v>3934</c:v>
                      </c:pt>
                      <c:pt idx="12">
                        <c:v>150036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517-4956-B3F7-67F2A7C20AC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'Pernoctaciones evol mensu TF'!$N$254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517-4956-B3F7-67F2A7C20AC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517-4956-B3F7-67F2A7C20AC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517-4956-B3F7-67F2A7C20AC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517-4956-B3F7-67F2A7C20AC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517-4956-B3F7-67F2A7C20AC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517-4956-B3F7-67F2A7C20AC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517-4956-B3F7-67F2A7C20AC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517-4956-B3F7-67F2A7C20AC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517-4956-B3F7-67F2A7C20AC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517-4956-B3F7-67F2A7C20AC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517-4956-B3F7-67F2A7C20AC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517-4956-B3F7-67F2A7C20AC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517-4956-B3F7-67F2A7C20ACC}"/>
              </c:ext>
            </c:extLst>
          </c:dPt>
          <c:cat>
            <c:strRef>
              <c:f>'Pernoctaciones evol mensu TF'!$B$255:$B$266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'Pernoctaciones evol mensu TF'!$N$255:$N$267</c:f>
              <c:numCache>
                <c:formatCode>0.0%</c:formatCode>
                <c:ptCount val="13"/>
                <c:pt idx="0">
                  <c:v>-6.0536702711539769E-2</c:v>
                </c:pt>
                <c:pt idx="1">
                  <c:v>-0.14402973103042616</c:v>
                </c:pt>
                <c:pt idx="2">
                  <c:v>-0.2486307712660405</c:v>
                </c:pt>
                <c:pt idx="3">
                  <c:v>-0.11145661849887201</c:v>
                </c:pt>
                <c:pt idx="4">
                  <c:v>-6.2692702980472803E-2</c:v>
                </c:pt>
                <c:pt idx="5">
                  <c:v>-7.766059443911788E-2</c:v>
                </c:pt>
                <c:pt idx="6">
                  <c:v>0.16645326504481428</c:v>
                </c:pt>
                <c:pt idx="7">
                  <c:v>0.51706036745406814</c:v>
                </c:pt>
                <c:pt idx="8">
                  <c:v>0.22236024844720492</c:v>
                </c:pt>
                <c:pt idx="9">
                  <c:v>-4.4011544011544057E-2</c:v>
                </c:pt>
                <c:pt idx="10">
                  <c:v>-0.1637871889228466</c:v>
                </c:pt>
                <c:pt idx="11">
                  <c:v>-0.14152943568296017</c:v>
                </c:pt>
                <c:pt idx="12">
                  <c:v>-0.13577833085674595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517-4956-B3F7-67F2A7C20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B4-4197-9C51-3371166776BF}"/>
              </c:ext>
            </c:extLst>
          </c:dPt>
          <c:val>
            <c:numRef>
              <c:f>'Pernocta evol mensu TF cat'!$I$9:$I$21</c:f>
              <c:numCache>
                <c:formatCode>#,##0</c:formatCode>
                <c:ptCount val="13"/>
                <c:pt idx="0">
                  <c:v>810733</c:v>
                </c:pt>
                <c:pt idx="1">
                  <c:v>773844</c:v>
                </c:pt>
                <c:pt idx="2">
                  <c:v>818402</c:v>
                </c:pt>
                <c:pt idx="3">
                  <c:v>745949</c:v>
                </c:pt>
                <c:pt idx="4">
                  <c:v>671021</c:v>
                </c:pt>
                <c:pt idx="5">
                  <c:v>758024</c:v>
                </c:pt>
                <c:pt idx="6">
                  <c:v>872319</c:v>
                </c:pt>
                <c:pt idx="7">
                  <c:v>947197</c:v>
                </c:pt>
                <c:pt idx="8">
                  <c:v>799868</c:v>
                </c:pt>
                <c:pt idx="9">
                  <c:v>863416</c:v>
                </c:pt>
                <c:pt idx="10">
                  <c:v>847777</c:v>
                </c:pt>
                <c:pt idx="11">
                  <c:v>831777</c:v>
                </c:pt>
                <c:pt idx="12">
                  <c:v>9740327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B4-4197-9C51-3371166776BF}"/>
            </c:ext>
          </c:extLst>
        </c:ser>
        <c:ser>
          <c:idx val="0"/>
          <c:order val="2"/>
          <c:tx>
            <c:strRef>
              <c:f>'Pernocta evol mensu TF cat'!$K$7:$L$7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3B4-4197-9C51-3371166776B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cat'!$K$9:$K$21</c:f>
              <c:numCache>
                <c:formatCode>#,##0</c:formatCode>
                <c:ptCount val="13"/>
                <c:pt idx="0">
                  <c:v>835098</c:v>
                </c:pt>
                <c:pt idx="1">
                  <c:v>824761</c:v>
                </c:pt>
                <c:pt idx="2">
                  <c:v>866668</c:v>
                </c:pt>
                <c:pt idx="3">
                  <c:v>789795</c:v>
                </c:pt>
                <c:pt idx="4">
                  <c:v>746827</c:v>
                </c:pt>
                <c:pt idx="5">
                  <c:v>787690</c:v>
                </c:pt>
                <c:pt idx="6">
                  <c:v>895588</c:v>
                </c:pt>
                <c:pt idx="7">
                  <c:v>936279</c:v>
                </c:pt>
                <c:pt idx="8">
                  <c:v>807680</c:v>
                </c:pt>
                <c:pt idx="9">
                  <c:v>870321</c:v>
                </c:pt>
                <c:pt idx="10">
                  <c:v>817457</c:v>
                </c:pt>
                <c:pt idx="11">
                  <c:v>834955</c:v>
                </c:pt>
                <c:pt idx="12">
                  <c:v>10013119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B4-4197-9C51-3371166776BF}"/>
            </c:ext>
          </c:extLst>
        </c:ser>
        <c:ser>
          <c:idx val="1"/>
          <c:order val="3"/>
          <c:tx>
            <c:strRef>
              <c:f>'Pernocta evol mensu TF cat'!$M$7:$N$7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3B4-4197-9C51-3371166776B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3B4-4197-9C51-3371166776B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cat'!$M$9:$M$21</c:f>
              <c:numCache>
                <c:formatCode>#,##0</c:formatCode>
                <c:ptCount val="13"/>
                <c:pt idx="0">
                  <c:v>876312</c:v>
                </c:pt>
                <c:pt idx="1">
                  <c:v>812017</c:v>
                </c:pt>
                <c:pt idx="2">
                  <c:v>828674</c:v>
                </c:pt>
                <c:pt idx="3">
                  <c:v>754621</c:v>
                </c:pt>
                <c:pt idx="4">
                  <c:v>741128</c:v>
                </c:pt>
                <c:pt idx="5">
                  <c:v>808867</c:v>
                </c:pt>
                <c:pt idx="6">
                  <c:v>931484</c:v>
                </c:pt>
                <c:pt idx="7">
                  <c:v>908634</c:v>
                </c:pt>
                <c:pt idx="8">
                  <c:v>815302</c:v>
                </c:pt>
                <c:pt idx="9">
                  <c:v>899430</c:v>
                </c:pt>
                <c:pt idx="10">
                  <c:v>815614</c:v>
                </c:pt>
                <c:pt idx="11">
                  <c:v>802051</c:v>
                </c:pt>
                <c:pt idx="12">
                  <c:v>9994134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3B4-4197-9C51-337116677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3B4-4197-9C51-3371166776B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cat'!$C$9:$C$21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893934</c:v>
                      </c:pt>
                      <c:pt idx="1">
                        <c:v>832182</c:v>
                      </c:pt>
                      <c:pt idx="2">
                        <c:v>381721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191201</c:v>
                      </c:pt>
                      <c:pt idx="8">
                        <c:v>105790</c:v>
                      </c:pt>
                      <c:pt idx="9">
                        <c:v>101639</c:v>
                      </c:pt>
                      <c:pt idx="10">
                        <c:v>110775</c:v>
                      </c:pt>
                      <c:pt idx="11">
                        <c:v>118240</c:v>
                      </c:pt>
                      <c:pt idx="12">
                        <c:v>2858440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3B4-4197-9C51-3371166776B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3B4-4197-9C51-3371166776B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3B4-4197-9C51-3371166776B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3B4-4197-9C51-3371166776B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3B4-4197-9C51-3371166776B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3B4-4197-9C51-3371166776B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3B4-4197-9C51-3371166776B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3B4-4197-9C51-3371166776B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3B4-4197-9C51-3371166776B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3B4-4197-9C51-3371166776B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3B4-4197-9C51-3371166776B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3B4-4197-9C51-3371166776B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3B4-4197-9C51-3371166776B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3B4-4197-9C51-3371166776BF}"/>
              </c:ext>
            </c:extLst>
          </c:dPt>
          <c:cat>
            <c:strRef>
              <c:f>'Pernocta evol mensu TF cat'!$B$9:$B$20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cat'!$N$9:$N$21</c:f>
              <c:numCache>
                <c:formatCode>0.0%</c:formatCode>
                <c:ptCount val="13"/>
                <c:pt idx="0">
                  <c:v>4.9352291587334562E-2</c:v>
                </c:pt>
                <c:pt idx="1">
                  <c:v>-1.5451749052149633E-2</c:v>
                </c:pt>
                <c:pt idx="2">
                  <c:v>-4.3839163324364105E-2</c:v>
                </c:pt>
                <c:pt idx="3">
                  <c:v>-4.4535607341145478E-2</c:v>
                </c:pt>
                <c:pt idx="4">
                  <c:v>-7.6309506753237111E-3</c:v>
                </c:pt>
                <c:pt idx="5">
                  <c:v>2.6884942045728666E-2</c:v>
                </c:pt>
                <c:pt idx="6">
                  <c:v>4.0080930070523602E-2</c:v>
                </c:pt>
                <c:pt idx="7">
                  <c:v>-2.9526455255324491E-2</c:v>
                </c:pt>
                <c:pt idx="8">
                  <c:v>9.4369057052297034E-3</c:v>
                </c:pt>
                <c:pt idx="9">
                  <c:v>3.3446280165594144E-2</c:v>
                </c:pt>
                <c:pt idx="10">
                  <c:v>-2.2545528388648872E-3</c:v>
                </c:pt>
                <c:pt idx="11">
                  <c:v>-3.9408111814409175E-2</c:v>
                </c:pt>
                <c:pt idx="12">
                  <c:v>-1.8960126210424422E-3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B4-4197-9C51-337116677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5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32-430F-B3E5-24317F14BADF}"/>
              </c:ext>
            </c:extLst>
          </c:dPt>
          <c:val>
            <c:numRef>
              <c:f>'Pernocta evol mensu TF cat'!$I$31:$I$43</c:f>
              <c:numCache>
                <c:formatCode>#,##0</c:formatCode>
                <c:ptCount val="13"/>
                <c:pt idx="0">
                  <c:v>488351</c:v>
                </c:pt>
                <c:pt idx="1">
                  <c:v>443471</c:v>
                </c:pt>
                <c:pt idx="2">
                  <c:v>469427</c:v>
                </c:pt>
                <c:pt idx="3">
                  <c:v>444527</c:v>
                </c:pt>
                <c:pt idx="4">
                  <c:v>422412</c:v>
                </c:pt>
                <c:pt idx="5">
                  <c:v>454213</c:v>
                </c:pt>
                <c:pt idx="6">
                  <c:v>511657</c:v>
                </c:pt>
                <c:pt idx="7">
                  <c:v>569851</c:v>
                </c:pt>
                <c:pt idx="8">
                  <c:v>491257</c:v>
                </c:pt>
                <c:pt idx="9">
                  <c:v>505474</c:v>
                </c:pt>
                <c:pt idx="10">
                  <c:v>495470</c:v>
                </c:pt>
                <c:pt idx="11">
                  <c:v>480103</c:v>
                </c:pt>
                <c:pt idx="12">
                  <c:v>5776213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32-430F-B3E5-24317F14BADF}"/>
            </c:ext>
          </c:extLst>
        </c:ser>
        <c:ser>
          <c:idx val="0"/>
          <c:order val="2"/>
          <c:tx>
            <c:strRef>
              <c:f>'Pernocta evol mensu TF cat'!$K$29:$L$29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732-430F-B3E5-24317F14BAD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cat'!$K$31:$K$43</c:f>
              <c:numCache>
                <c:formatCode>#,##0</c:formatCode>
                <c:ptCount val="13"/>
                <c:pt idx="0">
                  <c:v>462517</c:v>
                </c:pt>
                <c:pt idx="1">
                  <c:v>463066</c:v>
                </c:pt>
                <c:pt idx="2">
                  <c:v>495607</c:v>
                </c:pt>
                <c:pt idx="3">
                  <c:v>447408</c:v>
                </c:pt>
                <c:pt idx="4">
                  <c:v>435777</c:v>
                </c:pt>
                <c:pt idx="5">
                  <c:v>465333</c:v>
                </c:pt>
                <c:pt idx="6">
                  <c:v>531003</c:v>
                </c:pt>
                <c:pt idx="7">
                  <c:v>553021</c:v>
                </c:pt>
                <c:pt idx="8">
                  <c:v>500247</c:v>
                </c:pt>
                <c:pt idx="9">
                  <c:v>527606</c:v>
                </c:pt>
                <c:pt idx="10">
                  <c:v>484662</c:v>
                </c:pt>
                <c:pt idx="11">
                  <c:v>488662</c:v>
                </c:pt>
                <c:pt idx="12">
                  <c:v>5854909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32-430F-B3E5-24317F14BADF}"/>
            </c:ext>
          </c:extLst>
        </c:ser>
        <c:ser>
          <c:idx val="1"/>
          <c:order val="3"/>
          <c:tx>
            <c:strRef>
              <c:f>'Pernocta evol mensu TF cat'!$M$29:$N$29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732-430F-B3E5-24317F14BAD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732-430F-B3E5-24317F14BADF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cat'!$M$31:$M$43</c:f>
              <c:numCache>
                <c:formatCode>#,##0</c:formatCode>
                <c:ptCount val="13"/>
                <c:pt idx="0">
                  <c:v>516029</c:v>
                </c:pt>
                <c:pt idx="1">
                  <c:v>474785</c:v>
                </c:pt>
                <c:pt idx="2">
                  <c:v>477683</c:v>
                </c:pt>
                <c:pt idx="3">
                  <c:v>414511</c:v>
                </c:pt>
                <c:pt idx="4">
                  <c:v>441733</c:v>
                </c:pt>
                <c:pt idx="5">
                  <c:v>483562</c:v>
                </c:pt>
                <c:pt idx="6">
                  <c:v>544194</c:v>
                </c:pt>
                <c:pt idx="7">
                  <c:v>547385</c:v>
                </c:pt>
                <c:pt idx="8">
                  <c:v>486120</c:v>
                </c:pt>
                <c:pt idx="9">
                  <c:v>545299</c:v>
                </c:pt>
                <c:pt idx="10">
                  <c:v>490539</c:v>
                </c:pt>
                <c:pt idx="11">
                  <c:v>463246</c:v>
                </c:pt>
                <c:pt idx="12">
                  <c:v>5885086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732-430F-B3E5-24317F14B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732-430F-B3E5-24317F14BAD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cat'!$C$31:$C$43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501178</c:v>
                      </c:pt>
                      <c:pt idx="1">
                        <c:v>463416</c:v>
                      </c:pt>
                      <c:pt idx="2">
                        <c:v>215134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96004</c:v>
                      </c:pt>
                      <c:pt idx="8">
                        <c:v>60570</c:v>
                      </c:pt>
                      <c:pt idx="9">
                        <c:v>51321</c:v>
                      </c:pt>
                      <c:pt idx="10">
                        <c:v>52157</c:v>
                      </c:pt>
                      <c:pt idx="11">
                        <c:v>56375</c:v>
                      </c:pt>
                      <c:pt idx="12">
                        <c:v>1557028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732-430F-B3E5-24317F14BAD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732-430F-B3E5-24317F14BAD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732-430F-B3E5-24317F14BAD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732-430F-B3E5-24317F14BAD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732-430F-B3E5-24317F14BAD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732-430F-B3E5-24317F14BAD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732-430F-B3E5-24317F14BAD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732-430F-B3E5-24317F14BAD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732-430F-B3E5-24317F14BAD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732-430F-B3E5-24317F14BAD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732-430F-B3E5-24317F14BAD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732-430F-B3E5-24317F14BAD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732-430F-B3E5-24317F14BAD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732-430F-B3E5-24317F14BADF}"/>
              </c:ext>
            </c:extLst>
          </c:dPt>
          <c:cat>
            <c:strRef>
              <c:f>'Pernocta evol mensu TF cat'!$B$31:$B$42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cat'!$N$31:$N$43</c:f>
              <c:numCache>
                <c:formatCode>0.0%</c:formatCode>
                <c:ptCount val="13"/>
                <c:pt idx="0">
                  <c:v>0.11569736896157323</c:v>
                </c:pt>
                <c:pt idx="1">
                  <c:v>2.5307407583368136E-2</c:v>
                </c:pt>
                <c:pt idx="2">
                  <c:v>-3.6165752299705201E-2</c:v>
                </c:pt>
                <c:pt idx="3">
                  <c:v>-7.3527965525873484E-2</c:v>
                </c:pt>
                <c:pt idx="4">
                  <c:v>1.3667540967054359E-2</c:v>
                </c:pt>
                <c:pt idx="5">
                  <c:v>3.9174096829582172E-2</c:v>
                </c:pt>
                <c:pt idx="6">
                  <c:v>2.4841667561200209E-2</c:v>
                </c:pt>
                <c:pt idx="7">
                  <c:v>-1.0191294724793409E-2</c:v>
                </c:pt>
                <c:pt idx="8">
                  <c:v>-2.8240049415588664E-2</c:v>
                </c:pt>
                <c:pt idx="9">
                  <c:v>3.3534493542529908E-2</c:v>
                </c:pt>
                <c:pt idx="10">
                  <c:v>1.2125976453693399E-2</c:v>
                </c:pt>
                <c:pt idx="11">
                  <c:v>-5.2011410750170906E-2</c:v>
                </c:pt>
                <c:pt idx="12">
                  <c:v>5.1541364690723679E-3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732-430F-B3E5-24317F14B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9-4D88-95FA-92672AF08F6A}"/>
              </c:ext>
            </c:extLst>
          </c:dPt>
          <c:val>
            <c:numRef>
              <c:f>'Pernocta evol mensu TF cat'!$I$53:$I$65</c:f>
              <c:numCache>
                <c:formatCode>#,##0</c:formatCode>
                <c:ptCount val="13"/>
                <c:pt idx="0">
                  <c:v>371455</c:v>
                </c:pt>
                <c:pt idx="1">
                  <c:v>333022</c:v>
                </c:pt>
                <c:pt idx="2">
                  <c:v>346043</c:v>
                </c:pt>
                <c:pt idx="3">
                  <c:v>331335</c:v>
                </c:pt>
                <c:pt idx="4">
                  <c:v>340704</c:v>
                </c:pt>
                <c:pt idx="5">
                  <c:v>354121</c:v>
                </c:pt>
                <c:pt idx="6">
                  <c:v>400198</c:v>
                </c:pt>
                <c:pt idx="7">
                  <c:v>415100</c:v>
                </c:pt>
                <c:pt idx="8">
                  <c:v>384126</c:v>
                </c:pt>
                <c:pt idx="9">
                  <c:v>392254</c:v>
                </c:pt>
                <c:pt idx="10">
                  <c:v>361460</c:v>
                </c:pt>
                <c:pt idx="11">
                  <c:v>362997</c:v>
                </c:pt>
                <c:pt idx="12">
                  <c:v>4392815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19-4D88-95FA-92672AF08F6A}"/>
            </c:ext>
          </c:extLst>
        </c:ser>
        <c:ser>
          <c:idx val="0"/>
          <c:order val="2"/>
          <c:tx>
            <c:strRef>
              <c:f>'Pernocta evol mensu TF cat'!$K$51:$L$51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D19-4D88-95FA-92672AF08F6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cat'!$K$53:$K$65</c:f>
              <c:numCache>
                <c:formatCode>#,##0</c:formatCode>
                <c:ptCount val="13"/>
                <c:pt idx="0">
                  <c:v>373792</c:v>
                </c:pt>
                <c:pt idx="1">
                  <c:v>353865</c:v>
                </c:pt>
                <c:pt idx="2">
                  <c:v>376224</c:v>
                </c:pt>
                <c:pt idx="3">
                  <c:v>344040</c:v>
                </c:pt>
                <c:pt idx="4">
                  <c:v>344685</c:v>
                </c:pt>
                <c:pt idx="5">
                  <c:v>354898</c:v>
                </c:pt>
                <c:pt idx="6">
                  <c:v>405625</c:v>
                </c:pt>
                <c:pt idx="7">
                  <c:v>423978</c:v>
                </c:pt>
                <c:pt idx="8">
                  <c:v>385672</c:v>
                </c:pt>
                <c:pt idx="9">
                  <c:v>410112</c:v>
                </c:pt>
                <c:pt idx="10">
                  <c:v>367251</c:v>
                </c:pt>
                <c:pt idx="11">
                  <c:v>369112</c:v>
                </c:pt>
                <c:pt idx="12">
                  <c:v>4509254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19-4D88-95FA-92672AF08F6A}"/>
            </c:ext>
          </c:extLst>
        </c:ser>
        <c:ser>
          <c:idx val="1"/>
          <c:order val="3"/>
          <c:tx>
            <c:strRef>
              <c:f>'Pernocta evol mensu TF cat'!$M$51:$N$51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D19-4D88-95FA-92672AF08F6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D19-4D88-95FA-92672AF08F6A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cat'!$M$53:$M$65</c:f>
              <c:numCache>
                <c:formatCode>#,##0</c:formatCode>
                <c:ptCount val="13"/>
                <c:pt idx="0">
                  <c:v>392816</c:v>
                </c:pt>
                <c:pt idx="1">
                  <c:v>362809</c:v>
                </c:pt>
                <c:pt idx="2">
                  <c:v>376628</c:v>
                </c:pt>
                <c:pt idx="3">
                  <c:v>325436</c:v>
                </c:pt>
                <c:pt idx="4">
                  <c:v>365014</c:v>
                </c:pt>
                <c:pt idx="5">
                  <c:v>391870</c:v>
                </c:pt>
                <c:pt idx="6">
                  <c:v>442861</c:v>
                </c:pt>
                <c:pt idx="7">
                  <c:v>453389</c:v>
                </c:pt>
                <c:pt idx="8">
                  <c:v>389377</c:v>
                </c:pt>
                <c:pt idx="9">
                  <c:v>442644</c:v>
                </c:pt>
                <c:pt idx="10">
                  <c:v>389496</c:v>
                </c:pt>
                <c:pt idx="11">
                  <c:v>364902</c:v>
                </c:pt>
                <c:pt idx="12">
                  <c:v>4697242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19-4D88-95FA-92672AF08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D19-4D88-95FA-92672AF08F6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cat'!$C$53:$C$65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370908</c:v>
                      </c:pt>
                      <c:pt idx="1">
                        <c:v>336790</c:v>
                      </c:pt>
                      <c:pt idx="2">
                        <c:v>153036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69690</c:v>
                      </c:pt>
                      <c:pt idx="8">
                        <c:v>47226</c:v>
                      </c:pt>
                      <c:pt idx="9">
                        <c:v>43327</c:v>
                      </c:pt>
                      <c:pt idx="10">
                        <c:v>39419</c:v>
                      </c:pt>
                      <c:pt idx="11">
                        <c:v>43129</c:v>
                      </c:pt>
                      <c:pt idx="12">
                        <c:v>1144929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D19-4D88-95FA-92672AF08F6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D19-4D88-95FA-92672AF08F6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D19-4D88-95FA-92672AF08F6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D19-4D88-95FA-92672AF08F6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D19-4D88-95FA-92672AF08F6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D19-4D88-95FA-92672AF08F6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D19-4D88-95FA-92672AF08F6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D19-4D88-95FA-92672AF08F6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D19-4D88-95FA-92672AF08F6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D19-4D88-95FA-92672AF08F6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D19-4D88-95FA-92672AF08F6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D19-4D88-95FA-92672AF08F6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D19-4D88-95FA-92672AF08F6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D19-4D88-95FA-92672AF08F6A}"/>
              </c:ext>
            </c:extLst>
          </c:dPt>
          <c:cat>
            <c:strRef>
              <c:f>'Pernocta evol mensu TF cat'!$B$53:$B$64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cat'!$N$53:$N$65</c:f>
              <c:numCache>
                <c:formatCode>0.0%</c:formatCode>
                <c:ptCount val="13"/>
                <c:pt idx="0">
                  <c:v>5.0894615187055958E-2</c:v>
                </c:pt>
                <c:pt idx="1">
                  <c:v>2.5275175561301655E-2</c:v>
                </c:pt>
                <c:pt idx="2">
                  <c:v>1.0738283575741914E-3</c:v>
                </c:pt>
                <c:pt idx="3">
                  <c:v>-5.4075107545634271E-2</c:v>
                </c:pt>
                <c:pt idx="4">
                  <c:v>5.897848760462443E-2</c:v>
                </c:pt>
                <c:pt idx="5">
                  <c:v>0.10417641125055654</c:v>
                </c:pt>
                <c:pt idx="6">
                  <c:v>9.1799075500770488E-2</c:v>
                </c:pt>
                <c:pt idx="7">
                  <c:v>6.9369165381222508E-2</c:v>
                </c:pt>
                <c:pt idx="8">
                  <c:v>9.6066087245119114E-3</c:v>
                </c:pt>
                <c:pt idx="9">
                  <c:v>7.9324672284644127E-2</c:v>
                </c:pt>
                <c:pt idx="10">
                  <c:v>6.0571652629945127E-2</c:v>
                </c:pt>
                <c:pt idx="11">
                  <c:v>-1.1405752183619056E-2</c:v>
                </c:pt>
                <c:pt idx="12">
                  <c:v>4.1689379218824207E-2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D19-4D88-95FA-92672AF08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6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64-4EA4-BBD3-D1AA70B04699}"/>
              </c:ext>
            </c:extLst>
          </c:dPt>
          <c:val>
            <c:numRef>
              <c:f>'Pernocta evol mensu TF cat'!$I$75:$I$87</c:f>
              <c:numCache>
                <c:formatCode>#,##0</c:formatCode>
                <c:ptCount val="13"/>
                <c:pt idx="0">
                  <c:v>116896</c:v>
                </c:pt>
                <c:pt idx="1">
                  <c:v>110449</c:v>
                </c:pt>
                <c:pt idx="2">
                  <c:v>123384</c:v>
                </c:pt>
                <c:pt idx="3">
                  <c:v>113192</c:v>
                </c:pt>
                <c:pt idx="4">
                  <c:v>81708</c:v>
                </c:pt>
                <c:pt idx="5">
                  <c:v>100092</c:v>
                </c:pt>
                <c:pt idx="6">
                  <c:v>111459</c:v>
                </c:pt>
                <c:pt idx="7">
                  <c:v>154751</c:v>
                </c:pt>
                <c:pt idx="8">
                  <c:v>107131</c:v>
                </c:pt>
                <c:pt idx="9">
                  <c:v>113220</c:v>
                </c:pt>
                <c:pt idx="10">
                  <c:v>134010</c:v>
                </c:pt>
                <c:pt idx="11">
                  <c:v>117106</c:v>
                </c:pt>
                <c:pt idx="12">
                  <c:v>1383398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64-4EA4-BBD3-D1AA70B04699}"/>
            </c:ext>
          </c:extLst>
        </c:ser>
        <c:ser>
          <c:idx val="0"/>
          <c:order val="2"/>
          <c:tx>
            <c:strRef>
              <c:f>'Pernocta evol mensu TF cat'!$K$73:$L$73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F64-4EA4-BBD3-D1AA70B04699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cat'!$K$75:$K$87</c:f>
              <c:numCache>
                <c:formatCode>#,##0</c:formatCode>
                <c:ptCount val="13"/>
                <c:pt idx="0">
                  <c:v>88725</c:v>
                </c:pt>
                <c:pt idx="1">
                  <c:v>109201</c:v>
                </c:pt>
                <c:pt idx="2">
                  <c:v>119383</c:v>
                </c:pt>
                <c:pt idx="3">
                  <c:v>103368</c:v>
                </c:pt>
                <c:pt idx="4">
                  <c:v>91092</c:v>
                </c:pt>
                <c:pt idx="5">
                  <c:v>110435</c:v>
                </c:pt>
                <c:pt idx="6">
                  <c:v>125378</c:v>
                </c:pt>
                <c:pt idx="7">
                  <c:v>129043</c:v>
                </c:pt>
                <c:pt idx="8">
                  <c:v>114575</c:v>
                </c:pt>
                <c:pt idx="9">
                  <c:v>117494</c:v>
                </c:pt>
                <c:pt idx="10">
                  <c:v>117411</c:v>
                </c:pt>
                <c:pt idx="11">
                  <c:v>119550</c:v>
                </c:pt>
                <c:pt idx="12">
                  <c:v>1345655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64-4EA4-BBD3-D1AA70B04699}"/>
            </c:ext>
          </c:extLst>
        </c:ser>
        <c:ser>
          <c:idx val="1"/>
          <c:order val="3"/>
          <c:tx>
            <c:strRef>
              <c:f>'Pernocta evol mensu TF cat'!$M$73:$N$73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F64-4EA4-BBD3-D1AA70B0469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F64-4EA4-BBD3-D1AA70B04699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cat'!$M$75:$M$87</c:f>
              <c:numCache>
                <c:formatCode>#,##0</c:formatCode>
                <c:ptCount val="13"/>
                <c:pt idx="0">
                  <c:v>123213</c:v>
                </c:pt>
                <c:pt idx="1">
                  <c:v>111976</c:v>
                </c:pt>
                <c:pt idx="2">
                  <c:v>101055</c:v>
                </c:pt>
                <c:pt idx="3">
                  <c:v>89075</c:v>
                </c:pt>
                <c:pt idx="4">
                  <c:v>76719</c:v>
                </c:pt>
                <c:pt idx="5">
                  <c:v>91692</c:v>
                </c:pt>
                <c:pt idx="6">
                  <c:v>101333</c:v>
                </c:pt>
                <c:pt idx="7">
                  <c:v>93996</c:v>
                </c:pt>
                <c:pt idx="8">
                  <c:v>96743</c:v>
                </c:pt>
                <c:pt idx="9">
                  <c:v>102655</c:v>
                </c:pt>
                <c:pt idx="10">
                  <c:v>101043</c:v>
                </c:pt>
                <c:pt idx="11">
                  <c:v>98344</c:v>
                </c:pt>
                <c:pt idx="12">
                  <c:v>1187844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F64-4EA4-BBD3-D1AA70B04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F64-4EA4-BBD3-D1AA70B0469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cat'!$C$75:$C$87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130270</c:v>
                      </c:pt>
                      <c:pt idx="1">
                        <c:v>126626</c:v>
                      </c:pt>
                      <c:pt idx="2">
                        <c:v>62098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26314</c:v>
                      </c:pt>
                      <c:pt idx="8">
                        <c:v>13344</c:v>
                      </c:pt>
                      <c:pt idx="9">
                        <c:v>7994</c:v>
                      </c:pt>
                      <c:pt idx="10">
                        <c:v>12738</c:v>
                      </c:pt>
                      <c:pt idx="11">
                        <c:v>13246</c:v>
                      </c:pt>
                      <c:pt idx="12">
                        <c:v>412099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F64-4EA4-BBD3-D1AA70B0469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F64-4EA4-BBD3-D1AA70B0469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F64-4EA4-BBD3-D1AA70B0469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F64-4EA4-BBD3-D1AA70B0469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F64-4EA4-BBD3-D1AA70B0469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F64-4EA4-BBD3-D1AA70B0469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F64-4EA4-BBD3-D1AA70B0469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F64-4EA4-BBD3-D1AA70B0469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F64-4EA4-BBD3-D1AA70B0469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F64-4EA4-BBD3-D1AA70B0469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F64-4EA4-BBD3-D1AA70B0469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F64-4EA4-BBD3-D1AA70B0469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F64-4EA4-BBD3-D1AA70B0469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F64-4EA4-BBD3-D1AA70B04699}"/>
              </c:ext>
            </c:extLst>
          </c:dPt>
          <c:cat>
            <c:strRef>
              <c:f>'Pernocta evol mensu TF cat'!$B$75:$B$86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cat'!$N$75:$N$87</c:f>
              <c:numCache>
                <c:formatCode>0.0%</c:formatCode>
                <c:ptCount val="13"/>
                <c:pt idx="0">
                  <c:v>0.38870667793744706</c:v>
                </c:pt>
                <c:pt idx="1">
                  <c:v>2.54118552027911E-2</c:v>
                </c:pt>
                <c:pt idx="2">
                  <c:v>-0.1535226958612198</c:v>
                </c:pt>
                <c:pt idx="3">
                  <c:v>-0.13827296648866183</c:v>
                </c:pt>
                <c:pt idx="4">
                  <c:v>-0.1577855355025688</c:v>
                </c:pt>
                <c:pt idx="5">
                  <c:v>-0.16971974464617201</c:v>
                </c:pt>
                <c:pt idx="6">
                  <c:v>-0.1917800571073075</c:v>
                </c:pt>
                <c:pt idx="7">
                  <c:v>-0.27159163999597036</c:v>
                </c:pt>
                <c:pt idx="8">
                  <c:v>-0.15563604625790972</c:v>
                </c:pt>
                <c:pt idx="9">
                  <c:v>-0.1262958108499157</c:v>
                </c:pt>
                <c:pt idx="10">
                  <c:v>-0.13940772159337711</c:v>
                </c:pt>
                <c:pt idx="11">
                  <c:v>-0.17738184859891259</c:v>
                </c:pt>
                <c:pt idx="12">
                  <c:v>-0.11727448714566513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F64-4EA4-BBD3-D1AA70B04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'Pernocta evol mensu TF cat'!$I$95:$J$95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4B-44BC-99F8-7815A1BF76C3}"/>
              </c:ext>
            </c:extLst>
          </c:dPt>
          <c:val>
            <c:numRef>
              <c:f>'Pernocta evol mensu TF cat'!$I$97:$I$109</c:f>
              <c:numCache>
                <c:formatCode>#,##0</c:formatCode>
                <c:ptCount val="13"/>
                <c:pt idx="0">
                  <c:v>322382</c:v>
                </c:pt>
                <c:pt idx="1">
                  <c:v>330373</c:v>
                </c:pt>
                <c:pt idx="2">
                  <c:v>348975</c:v>
                </c:pt>
                <c:pt idx="3">
                  <c:v>301422</c:v>
                </c:pt>
                <c:pt idx="4">
                  <c:v>248609</c:v>
                </c:pt>
                <c:pt idx="5">
                  <c:v>303811</c:v>
                </c:pt>
                <c:pt idx="6">
                  <c:v>360662</c:v>
                </c:pt>
                <c:pt idx="7">
                  <c:v>377346</c:v>
                </c:pt>
                <c:pt idx="8">
                  <c:v>308611</c:v>
                </c:pt>
                <c:pt idx="9">
                  <c:v>357942</c:v>
                </c:pt>
                <c:pt idx="10">
                  <c:v>352307</c:v>
                </c:pt>
                <c:pt idx="11">
                  <c:v>351674</c:v>
                </c:pt>
                <c:pt idx="12">
                  <c:v>3964114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4B-44BC-99F8-7815A1BF76C3}"/>
            </c:ext>
          </c:extLst>
        </c:ser>
        <c:ser>
          <c:idx val="0"/>
          <c:order val="2"/>
          <c:tx>
            <c:strRef>
              <c:f>'Pernocta evol mensu TF cat'!$K$95:$L$95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24B-44BC-99F8-7815A1BF76C3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cat'!$K$97:$K$109</c:f>
              <c:numCache>
                <c:formatCode>#,##0</c:formatCode>
                <c:ptCount val="13"/>
                <c:pt idx="0">
                  <c:v>372581</c:v>
                </c:pt>
                <c:pt idx="1">
                  <c:v>361695</c:v>
                </c:pt>
                <c:pt idx="2">
                  <c:v>371061</c:v>
                </c:pt>
                <c:pt idx="3">
                  <c:v>342387</c:v>
                </c:pt>
                <c:pt idx="4">
                  <c:v>311050</c:v>
                </c:pt>
                <c:pt idx="5">
                  <c:v>322357</c:v>
                </c:pt>
                <c:pt idx="6">
                  <c:v>364585</c:v>
                </c:pt>
                <c:pt idx="7">
                  <c:v>383258</c:v>
                </c:pt>
                <c:pt idx="8">
                  <c:v>307433</c:v>
                </c:pt>
                <c:pt idx="9">
                  <c:v>342715</c:v>
                </c:pt>
                <c:pt idx="10">
                  <c:v>332795</c:v>
                </c:pt>
                <c:pt idx="11">
                  <c:v>346293</c:v>
                </c:pt>
                <c:pt idx="12">
                  <c:v>4158210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4B-44BC-99F8-7815A1BF76C3}"/>
            </c:ext>
          </c:extLst>
        </c:ser>
        <c:ser>
          <c:idx val="1"/>
          <c:order val="3"/>
          <c:tx>
            <c:strRef>
              <c:f>'Pernocta evol mensu TF cat'!$M$95:$N$95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24B-44BC-99F8-7815A1BF76C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24B-44BC-99F8-7815A1BF76C3}"/>
              </c:ext>
            </c:extLst>
          </c:dPt>
          <c:cat>
            <c:strRef>
              <c:f>'Pernocta evol mensu TF cat'!$A$9:$A$21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'Pernocta evol mensu TF cat'!$M$97:$M$109</c:f>
              <c:numCache>
                <c:formatCode>#,##0</c:formatCode>
                <c:ptCount val="13"/>
                <c:pt idx="0">
                  <c:v>360283</c:v>
                </c:pt>
                <c:pt idx="1">
                  <c:v>337232</c:v>
                </c:pt>
                <c:pt idx="2">
                  <c:v>350991</c:v>
                </c:pt>
                <c:pt idx="3">
                  <c:v>340110</c:v>
                </c:pt>
                <c:pt idx="4">
                  <c:v>299395</c:v>
                </c:pt>
                <c:pt idx="5">
                  <c:v>325305</c:v>
                </c:pt>
                <c:pt idx="6">
                  <c:v>387290</c:v>
                </c:pt>
                <c:pt idx="7">
                  <c:v>361249</c:v>
                </c:pt>
                <c:pt idx="8">
                  <c:v>329182</c:v>
                </c:pt>
                <c:pt idx="9">
                  <c:v>354131</c:v>
                </c:pt>
                <c:pt idx="10">
                  <c:v>325075</c:v>
                </c:pt>
                <c:pt idx="11">
                  <c:v>338805</c:v>
                </c:pt>
                <c:pt idx="12">
                  <c:v>4109048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24B-44BC-99F8-7815A1BF7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'Pernocta evol mensu TF cat'!$C$95:$D$95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24B-44BC-99F8-7815A1BF76C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'Pernocta evol mensu TF cat'!$A$9:$A$21</c15:sqref>
                        </c15:formulaRef>
                      </c:ext>
                    </c:extLst>
                    <c:strCache>
                      <c:ptCount val="12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'Pernocta evol mensu TF cat'!$C$97:$C$109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392756</c:v>
                      </c:pt>
                      <c:pt idx="1">
                        <c:v>368766</c:v>
                      </c:pt>
                      <c:pt idx="2">
                        <c:v>166587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95197</c:v>
                      </c:pt>
                      <c:pt idx="8">
                        <c:v>45220</c:v>
                      </c:pt>
                      <c:pt idx="9">
                        <c:v>50318</c:v>
                      </c:pt>
                      <c:pt idx="10">
                        <c:v>58618</c:v>
                      </c:pt>
                      <c:pt idx="11">
                        <c:v>61865</c:v>
                      </c:pt>
                      <c:pt idx="12">
                        <c:v>1301412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24B-44BC-99F8-7815A1BF76C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'Pernocta evol mensu TF cat'!$N$96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24B-44BC-99F8-7815A1BF76C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24B-44BC-99F8-7815A1BF76C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24B-44BC-99F8-7815A1BF76C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24B-44BC-99F8-7815A1BF76C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24B-44BC-99F8-7815A1BF76C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24B-44BC-99F8-7815A1BF76C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24B-44BC-99F8-7815A1BF76C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24B-44BC-99F8-7815A1BF76C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24B-44BC-99F8-7815A1BF76C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24B-44BC-99F8-7815A1BF76C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24B-44BC-99F8-7815A1BF76C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24B-44BC-99F8-7815A1BF76C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24B-44BC-99F8-7815A1BF76C3}"/>
              </c:ext>
            </c:extLst>
          </c:dPt>
          <c:cat>
            <c:strRef>
              <c:f>'Pernocta evol mensu TF cat'!$B$97:$B$108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'Pernocta evol mensu TF cat'!$N$97:$N$109</c:f>
              <c:numCache>
                <c:formatCode>0.0%</c:formatCode>
                <c:ptCount val="13"/>
                <c:pt idx="0">
                  <c:v>-3.3007587611821321E-2</c:v>
                </c:pt>
                <c:pt idx="1">
                  <c:v>-6.7634332794205054E-2</c:v>
                </c:pt>
                <c:pt idx="2">
                  <c:v>-5.4088141841907356E-2</c:v>
                </c:pt>
                <c:pt idx="3">
                  <c:v>-6.6503693189285951E-3</c:v>
                </c:pt>
                <c:pt idx="4">
                  <c:v>-3.7469860151101098E-2</c:v>
                </c:pt>
                <c:pt idx="5">
                  <c:v>9.1451403257878372E-3</c:v>
                </c:pt>
                <c:pt idx="6">
                  <c:v>6.2276286736974829E-2</c:v>
                </c:pt>
                <c:pt idx="7">
                  <c:v>-5.7426068079466042E-2</c:v>
                </c:pt>
                <c:pt idx="8">
                  <c:v>7.0743869395933467E-2</c:v>
                </c:pt>
                <c:pt idx="9">
                  <c:v>3.3310476635104891E-2</c:v>
                </c:pt>
                <c:pt idx="10">
                  <c:v>-2.3197463904205295E-2</c:v>
                </c:pt>
                <c:pt idx="11">
                  <c:v>-2.1623307430412964E-2</c:v>
                </c:pt>
                <c:pt idx="12">
                  <c:v>-1.1822875708538017E-2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24B-44BC-99F8-7815A1BF7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57-41F7-A1DB-639E547AF335}"/>
              </c:ext>
            </c:extLst>
          </c:dPt>
          <c:val>
            <c:numRef>
              <c:f>'Viajeros entr evol mensu TF'!$I$97:$I$109</c:f>
              <c:numCache>
                <c:formatCode>#,##0</c:formatCode>
                <c:ptCount val="13"/>
                <c:pt idx="0">
                  <c:v>96437</c:v>
                </c:pt>
                <c:pt idx="1">
                  <c:v>97949</c:v>
                </c:pt>
                <c:pt idx="2">
                  <c:v>108044</c:v>
                </c:pt>
                <c:pt idx="3">
                  <c:v>100188</c:v>
                </c:pt>
                <c:pt idx="4">
                  <c:v>88589</c:v>
                </c:pt>
                <c:pt idx="5">
                  <c:v>97481</c:v>
                </c:pt>
                <c:pt idx="6">
                  <c:v>98217</c:v>
                </c:pt>
                <c:pt idx="7">
                  <c:v>96847</c:v>
                </c:pt>
                <c:pt idx="8">
                  <c:v>96569</c:v>
                </c:pt>
                <c:pt idx="9">
                  <c:v>109428</c:v>
                </c:pt>
                <c:pt idx="10">
                  <c:v>106978</c:v>
                </c:pt>
                <c:pt idx="11">
                  <c:v>104162</c:v>
                </c:pt>
                <c:pt idx="12">
                  <c:v>1200889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57-41F7-A1DB-639E547AF335}"/>
            </c:ext>
          </c:extLst>
        </c:ser>
        <c:ser>
          <c:idx val="0"/>
          <c:order val="2"/>
          <c:tx>
            <c:strRef>
              <c:f>'Viajeros entr evol mensu TF'!$K$95:$L$95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057-41F7-A1DB-639E547AF33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TF'!$K$97:$K$109</c:f>
              <c:numCache>
                <c:formatCode>#,##0</c:formatCode>
                <c:ptCount val="13"/>
                <c:pt idx="0">
                  <c:v>97758</c:v>
                </c:pt>
                <c:pt idx="1">
                  <c:v>107315</c:v>
                </c:pt>
                <c:pt idx="2">
                  <c:v>114208</c:v>
                </c:pt>
                <c:pt idx="3">
                  <c:v>105296</c:v>
                </c:pt>
                <c:pt idx="4">
                  <c:v>101026</c:v>
                </c:pt>
                <c:pt idx="5">
                  <c:v>102726</c:v>
                </c:pt>
                <c:pt idx="6">
                  <c:v>106566</c:v>
                </c:pt>
                <c:pt idx="7">
                  <c:v>106980</c:v>
                </c:pt>
                <c:pt idx="8">
                  <c:v>100393</c:v>
                </c:pt>
                <c:pt idx="9">
                  <c:v>115247</c:v>
                </c:pt>
                <c:pt idx="10">
                  <c:v>107739</c:v>
                </c:pt>
                <c:pt idx="11">
                  <c:v>107909</c:v>
                </c:pt>
                <c:pt idx="12">
                  <c:v>1273163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57-41F7-A1DB-639E547AF335}"/>
            </c:ext>
          </c:extLst>
        </c:ser>
        <c:ser>
          <c:idx val="1"/>
          <c:order val="3"/>
          <c:tx>
            <c:strRef>
              <c:f>'Viajeros entr evol mensu TF'!$M$95:$N$95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057-41F7-A1DB-639E547AF33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057-41F7-A1DB-639E547AF335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TF'!$M$97:$M$109</c:f>
              <c:numCache>
                <c:formatCode>#,##0</c:formatCode>
                <c:ptCount val="13"/>
                <c:pt idx="0">
                  <c:v>103238</c:v>
                </c:pt>
                <c:pt idx="1">
                  <c:v>109374</c:v>
                </c:pt>
                <c:pt idx="2">
                  <c:v>117520</c:v>
                </c:pt>
                <c:pt idx="3">
                  <c:v>102791</c:v>
                </c:pt>
                <c:pt idx="4">
                  <c:v>107151</c:v>
                </c:pt>
                <c:pt idx="5">
                  <c:v>106493</c:v>
                </c:pt>
                <c:pt idx="6">
                  <c:v>112286</c:v>
                </c:pt>
                <c:pt idx="7">
                  <c:v>105931</c:v>
                </c:pt>
                <c:pt idx="8">
                  <c:v>103689</c:v>
                </c:pt>
                <c:pt idx="9">
                  <c:v>119830</c:v>
                </c:pt>
                <c:pt idx="10">
                  <c:v>111811</c:v>
                </c:pt>
                <c:pt idx="11">
                  <c:v>103178</c:v>
                </c:pt>
                <c:pt idx="12">
                  <c:v>1303292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057-41F7-A1DB-639E547AF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057-41F7-A1DB-639E547AF33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TF'!$C$97:$C$109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97195</c:v>
                      </c:pt>
                      <c:pt idx="1">
                        <c:v>99065</c:v>
                      </c:pt>
                      <c:pt idx="2">
                        <c:v>39064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17639</c:v>
                      </c:pt>
                      <c:pt idx="8">
                        <c:v>11102</c:v>
                      </c:pt>
                      <c:pt idx="9">
                        <c:v>13903</c:v>
                      </c:pt>
                      <c:pt idx="10">
                        <c:v>13877</c:v>
                      </c:pt>
                      <c:pt idx="11">
                        <c:v>15077</c:v>
                      </c:pt>
                      <c:pt idx="12">
                        <c:v>323585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057-41F7-A1DB-639E547AF33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057-41F7-A1DB-639E547AF33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057-41F7-A1DB-639E547AF33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057-41F7-A1DB-639E547AF33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057-41F7-A1DB-639E547AF33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057-41F7-A1DB-639E547AF33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057-41F7-A1DB-639E547AF33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057-41F7-A1DB-639E547AF33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057-41F7-A1DB-639E547AF33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057-41F7-A1DB-639E547AF33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057-41F7-A1DB-639E547AF33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057-41F7-A1DB-639E547AF33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057-41F7-A1DB-639E547AF33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057-41F7-A1DB-639E547AF335}"/>
              </c:ext>
            </c:extLst>
          </c:dPt>
          <c:cat>
            <c:strRef>
              <c:f>'Viajeros entr evol mensu TF'!$B$97:$B$108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TF'!$N$97:$N$109</c:f>
              <c:numCache>
                <c:formatCode>0.0%</c:formatCode>
                <c:ptCount val="13"/>
                <c:pt idx="0">
                  <c:v>5.6056793305918617E-2</c:v>
                </c:pt>
                <c:pt idx="1">
                  <c:v>1.9186507012067366E-2</c:v>
                </c:pt>
                <c:pt idx="2">
                  <c:v>2.899971980947047E-2</c:v>
                </c:pt>
                <c:pt idx="3">
                  <c:v>-2.3790077495821293E-2</c:v>
                </c:pt>
                <c:pt idx="4">
                  <c:v>6.0627957159543167E-2</c:v>
                </c:pt>
                <c:pt idx="5">
                  <c:v>3.6670365827541129E-2</c:v>
                </c:pt>
                <c:pt idx="6">
                  <c:v>5.3675656400728133E-2</c:v>
                </c:pt>
                <c:pt idx="7">
                  <c:v>-9.8055711347915242E-3</c:v>
                </c:pt>
                <c:pt idx="8">
                  <c:v>3.2830974271114588E-2</c:v>
                </c:pt>
                <c:pt idx="9">
                  <c:v>3.9766761824602703E-2</c:v>
                </c:pt>
                <c:pt idx="10">
                  <c:v>3.7795041721196521E-2</c:v>
                </c:pt>
                <c:pt idx="11">
                  <c:v>-4.3842496918700014E-2</c:v>
                </c:pt>
                <c:pt idx="12">
                  <c:v>2.3664683940705089E-2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057-41F7-A1DB-639E547AF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C1-46F0-AEFC-4B3CEF90B0AC}"/>
              </c:ext>
            </c:extLst>
          </c:dPt>
          <c:val>
            <c:numRef>
              <c:f>'EM evol menusual lugar resd'!$I$9:$I$21</c:f>
              <c:numCache>
                <c:formatCode>0.00</c:formatCode>
                <c:ptCount val="13"/>
                <c:pt idx="0">
                  <c:v>7.9384785610073729</c:v>
                </c:pt>
                <c:pt idx="1">
                  <c:v>7.573860021727854</c:v>
                </c:pt>
                <c:pt idx="2">
                  <c:v>7.1611875782049825</c:v>
                </c:pt>
                <c:pt idx="3">
                  <c:v>6.6071071115401994</c:v>
                </c:pt>
                <c:pt idx="4">
                  <c:v>6.9440868449374946</c:v>
                </c:pt>
                <c:pt idx="5">
                  <c:v>6.9046855643809666</c:v>
                </c:pt>
                <c:pt idx="6">
                  <c:v>7.7040926272653412</c:v>
                </c:pt>
                <c:pt idx="7">
                  <c:v>8.1097716550938816</c:v>
                </c:pt>
                <c:pt idx="8">
                  <c:v>7.4536678097510061</c:v>
                </c:pt>
                <c:pt idx="9">
                  <c:v>7.2239690096301068</c:v>
                </c:pt>
                <c:pt idx="10">
                  <c:v>7.4367055851367114</c:v>
                </c:pt>
                <c:pt idx="11">
                  <c:v>7.4519302269326904</c:v>
                </c:pt>
                <c:pt idx="12">
                  <c:v>7.3769342975031353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C1-46F0-AEFC-4B3CEF90B0AC}"/>
            </c:ext>
          </c:extLst>
        </c:ser>
        <c:ser>
          <c:idx val="0"/>
          <c:order val="2"/>
          <c:tx>
            <c:strRef>
              <c:f>'EM evol menusual lugar resd'!$K$7:$L$7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7C1-46F0-AEFC-4B3CEF90B0A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resd'!$K$9:$K$21</c:f>
              <c:numCache>
                <c:formatCode>0.00</c:formatCode>
                <c:ptCount val="13"/>
                <c:pt idx="0">
                  <c:v>8.1765736833344764</c:v>
                </c:pt>
                <c:pt idx="1">
                  <c:v>7.3477985852502536</c:v>
                </c:pt>
                <c:pt idx="2">
                  <c:v>7.0496921187274779</c:v>
                </c:pt>
                <c:pt idx="3">
                  <c:v>6.9559722393475543</c:v>
                </c:pt>
                <c:pt idx="4">
                  <c:v>6.7511616134222852</c:v>
                </c:pt>
                <c:pt idx="5">
                  <c:v>6.9467325160948938</c:v>
                </c:pt>
                <c:pt idx="6">
                  <c:v>7.3925116386568499</c:v>
                </c:pt>
                <c:pt idx="7">
                  <c:v>7.4201266434724724</c:v>
                </c:pt>
                <c:pt idx="8">
                  <c:v>7.2665766981556459</c:v>
                </c:pt>
                <c:pt idx="9">
                  <c:v>6.9581148065238247</c:v>
                </c:pt>
                <c:pt idx="10">
                  <c:v>7.1759629902735345</c:v>
                </c:pt>
                <c:pt idx="11">
                  <c:v>7.2321784322217413</c:v>
                </c:pt>
                <c:pt idx="12">
                  <c:v>7.2151283150609418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C1-46F0-AEFC-4B3CEF90B0AC}"/>
            </c:ext>
          </c:extLst>
        </c:ser>
        <c:ser>
          <c:idx val="1"/>
          <c:order val="3"/>
          <c:tx>
            <c:strRef>
              <c:f>'EM evol menusual lugar resd'!$M$7:$N$7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C1-46F0-AEFC-4B3CEF90B0A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C1-46F0-AEFC-4B3CEF90B0AC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resd'!$M$9:$M$21</c:f>
              <c:numCache>
                <c:formatCode>0.00</c:formatCode>
                <c:ptCount val="13"/>
                <c:pt idx="0">
                  <c:v>8.0574486474558196</c:v>
                </c:pt>
                <c:pt idx="1">
                  <c:v>7.0598509811422456</c:v>
                </c:pt>
                <c:pt idx="2">
                  <c:v>6.7263591941427618</c:v>
                </c:pt>
                <c:pt idx="3">
                  <c:v>6.5324405509050463</c:v>
                </c:pt>
                <c:pt idx="4">
                  <c:v>6.3569210711406177</c:v>
                </c:pt>
                <c:pt idx="5">
                  <c:v>6.9037161585469944</c:v>
                </c:pt>
                <c:pt idx="6">
                  <c:v>7.3919088355262117</c:v>
                </c:pt>
                <c:pt idx="7">
                  <c:v>7.3521215652005045</c:v>
                </c:pt>
                <c:pt idx="8">
                  <c:v>7.0362903573801896</c:v>
                </c:pt>
                <c:pt idx="9">
                  <c:v>6.896675995859372</c:v>
                </c:pt>
                <c:pt idx="10">
                  <c:v>6.8719741841987751</c:v>
                </c:pt>
                <c:pt idx="11">
                  <c:v>7.2433035311117129</c:v>
                </c:pt>
                <c:pt idx="12">
                  <c:v>7.0304533997772856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7C1-46F0-AEFC-4B3CEF90B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7C1-46F0-AEFC-4B3CEF90B0A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8.698648398805064</c:v>
                      </c:pt>
                      <c:pt idx="1">
                        <c:v>7.9022125154306337</c:v>
                      </c:pt>
                      <c:pt idx="2">
                        <c:v>9.2650728155339799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6.2072200759666263</c:v>
                      </c:pt>
                      <c:pt idx="8">
                        <c:v>5.8190319031903188</c:v>
                      </c:pt>
                      <c:pt idx="9">
                        <c:v>4.6894435729445423</c:v>
                      </c:pt>
                      <c:pt idx="10">
                        <c:v>6.71445023639229</c:v>
                      </c:pt>
                      <c:pt idx="11">
                        <c:v>6.7961834693642951</c:v>
                      </c:pt>
                      <c:pt idx="12">
                        <c:v>7.6155004062928775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7C1-46F0-AEFC-4B3CEF90B0A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7C1-46F0-AEFC-4B3CEF90B0A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7C1-46F0-AEFC-4B3CEF90B0A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7C1-46F0-AEFC-4B3CEF90B0A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7C1-46F0-AEFC-4B3CEF90B0A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7C1-46F0-AEFC-4B3CEF90B0A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7C1-46F0-AEFC-4B3CEF90B0A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7C1-46F0-AEFC-4B3CEF90B0A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7C1-46F0-AEFC-4B3CEF90B0A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7C1-46F0-AEFC-4B3CEF90B0A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7C1-46F0-AEFC-4B3CEF90B0A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7C1-46F0-AEFC-4B3CEF90B0A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7C1-46F0-AEFC-4B3CEF90B0A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7C1-46F0-AEFC-4B3CEF90B0AC}"/>
              </c:ext>
            </c:extLst>
          </c:dPt>
          <c:cat>
            <c:strRef>
              <c:f>'EM evol menusual lugar resd'!$B$9:$B$20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resd'!$N$9:$N$21</c:f>
              <c:numCache>
                <c:formatCode>0.00</c:formatCode>
                <c:ptCount val="13"/>
                <c:pt idx="0">
                  <c:v>-0.11912503587865686</c:v>
                </c:pt>
                <c:pt idx="1">
                  <c:v>-0.28794760410800802</c:v>
                </c:pt>
                <c:pt idx="2">
                  <c:v>-0.32333292458471607</c:v>
                </c:pt>
                <c:pt idx="3">
                  <c:v>-0.42353168844250799</c:v>
                </c:pt>
                <c:pt idx="4">
                  <c:v>-0.39424054228166749</c:v>
                </c:pt>
                <c:pt idx="5">
                  <c:v>-4.3016357547899453E-2</c:v>
                </c:pt>
                <c:pt idx="6">
                  <c:v>-6.0280313063820756E-4</c:v>
                </c:pt>
                <c:pt idx="7">
                  <c:v>-6.8005078271967889E-2</c:v>
                </c:pt>
                <c:pt idx="8">
                  <c:v>-0.23028634077545629</c:v>
                </c:pt>
                <c:pt idx="9">
                  <c:v>-6.1438810664452781E-2</c:v>
                </c:pt>
                <c:pt idx="10">
                  <c:v>-0.30398880607475931</c:v>
                </c:pt>
                <c:pt idx="11">
                  <c:v>1.1125098889971596E-2</c:v>
                </c:pt>
                <c:pt idx="12">
                  <c:v>-0.1846749152836562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7C1-46F0-AEFC-4B3CEF90B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E3-46B9-B8D6-C7983069D094}"/>
              </c:ext>
            </c:extLst>
          </c:dPt>
          <c:val>
            <c:numRef>
              <c:f>'EM evol menusual lugar resd'!$I$31:$I$43</c:f>
              <c:numCache>
                <c:formatCode>0.00</c:formatCode>
                <c:ptCount val="13"/>
                <c:pt idx="0">
                  <c:v>5.5796133567662567</c:v>
                </c:pt>
                <c:pt idx="1">
                  <c:v>5.0381155303030303</c:v>
                </c:pt>
                <c:pt idx="2">
                  <c:v>3.8983811508254527</c:v>
                </c:pt>
                <c:pt idx="3">
                  <c:v>3.6246361991662077</c:v>
                </c:pt>
                <c:pt idx="4">
                  <c:v>3.6548551535496707</c:v>
                </c:pt>
                <c:pt idx="5">
                  <c:v>3.624319271722344</c:v>
                </c:pt>
                <c:pt idx="6">
                  <c:v>4.4907068150023317</c:v>
                </c:pt>
                <c:pt idx="7">
                  <c:v>6.6265664160401005</c:v>
                </c:pt>
                <c:pt idx="8">
                  <c:v>5.0893605138229541</c:v>
                </c:pt>
                <c:pt idx="9">
                  <c:v>4.4011691271178046</c:v>
                </c:pt>
                <c:pt idx="10">
                  <c:v>5.175188719555619</c:v>
                </c:pt>
                <c:pt idx="11">
                  <c:v>6.1214965803942603</c:v>
                </c:pt>
                <c:pt idx="12">
                  <c:v>4.8382334479901576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E3-46B9-B8D6-C7983069D094}"/>
            </c:ext>
          </c:extLst>
        </c:ser>
        <c:ser>
          <c:idx val="0"/>
          <c:order val="2"/>
          <c:tx>
            <c:strRef>
              <c:f>'EM evol menusual lugar resd'!$K$29:$L$29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9E3-46B9-B8D6-C7983069D09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resd'!$K$31:$K$43</c:f>
              <c:numCache>
                <c:formatCode>0.00</c:formatCode>
                <c:ptCount val="13"/>
                <c:pt idx="0">
                  <c:v>6.9739428571428572</c:v>
                </c:pt>
                <c:pt idx="1">
                  <c:v>5.4027580612451835</c:v>
                </c:pt>
                <c:pt idx="2">
                  <c:v>4.4575552755183869</c:v>
                </c:pt>
                <c:pt idx="3">
                  <c:v>4.6420082464225079</c:v>
                </c:pt>
                <c:pt idx="4">
                  <c:v>4.3112755314714466</c:v>
                </c:pt>
                <c:pt idx="5">
                  <c:v>4.4162603150787696</c:v>
                </c:pt>
                <c:pt idx="6">
                  <c:v>4.9601563571526537</c:v>
                </c:pt>
                <c:pt idx="7">
                  <c:v>4.7279829175563775</c:v>
                </c:pt>
                <c:pt idx="8">
                  <c:v>4.7429580738124013</c:v>
                </c:pt>
                <c:pt idx="9">
                  <c:v>4.4360825790704768</c:v>
                </c:pt>
                <c:pt idx="10">
                  <c:v>4.5135178889428529</c:v>
                </c:pt>
                <c:pt idx="11">
                  <c:v>5.4963532687972414</c:v>
                </c:pt>
                <c:pt idx="12">
                  <c:v>4.7969589643380557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E3-46B9-B8D6-C7983069D094}"/>
            </c:ext>
          </c:extLst>
        </c:ser>
        <c:ser>
          <c:idx val="1"/>
          <c:order val="3"/>
          <c:tx>
            <c:strRef>
              <c:f>'EM evol menusual lugar resd'!$M$29:$N$29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E3-46B9-B8D6-C7983069D09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9E3-46B9-B8D6-C7983069D09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resd'!$M$31:$M$43</c:f>
              <c:numCache>
                <c:formatCode>0.00</c:formatCode>
                <c:ptCount val="13"/>
                <c:pt idx="0">
                  <c:v>6.1684782608695654</c:v>
                </c:pt>
                <c:pt idx="1">
                  <c:v>5.4040744021257749</c:v>
                </c:pt>
                <c:pt idx="2">
                  <c:v>5.2488552307150407</c:v>
                </c:pt>
                <c:pt idx="3">
                  <c:v>4.2120521684475172</c:v>
                </c:pt>
                <c:pt idx="4">
                  <c:v>3.7361950185479595</c:v>
                </c:pt>
                <c:pt idx="5">
                  <c:v>4.5514009933464532</c:v>
                </c:pt>
                <c:pt idx="6">
                  <c:v>5.343021561771562</c:v>
                </c:pt>
                <c:pt idx="7">
                  <c:v>4.8417058390440051</c:v>
                </c:pt>
                <c:pt idx="8">
                  <c:v>4.6968478082416683</c:v>
                </c:pt>
                <c:pt idx="9">
                  <c:v>4.5647614548889939</c:v>
                </c:pt>
                <c:pt idx="10">
                  <c:v>5.4716404886561953</c:v>
                </c:pt>
                <c:pt idx="11">
                  <c:v>5.3393802966101696</c:v>
                </c:pt>
                <c:pt idx="12">
                  <c:v>4.8547570122698867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E3-46B9-B8D6-C7983069D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9E3-46B9-B8D6-C7983069D09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6.760768126346016</c:v>
                      </c:pt>
                      <c:pt idx="1">
                        <c:v>5.0345876701361085</c:v>
                      </c:pt>
                      <c:pt idx="2">
                        <c:v>6.5454119850187267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4.6143269522941353</c:v>
                      </c:pt>
                      <c:pt idx="8">
                        <c:v>4.3455778468493929</c:v>
                      </c:pt>
                      <c:pt idx="9">
                        <c:v>3.6897439197014541</c:v>
                      </c:pt>
                      <c:pt idx="10">
                        <c:v>4.1041587180465475</c:v>
                      </c:pt>
                      <c:pt idx="11">
                        <c:v>3.6467040068935805</c:v>
                      </c:pt>
                      <c:pt idx="12">
                        <c:v>4.6644126738794434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9E3-46B9-B8D6-C7983069D09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resd'!$N$30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9E3-46B9-B8D6-C7983069D09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9E3-46B9-B8D6-C7983069D09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9E3-46B9-B8D6-C7983069D09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9E3-46B9-B8D6-C7983069D09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9E3-46B9-B8D6-C7983069D09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9E3-46B9-B8D6-C7983069D09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9E3-46B9-B8D6-C7983069D09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9E3-46B9-B8D6-C7983069D09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9E3-46B9-B8D6-C7983069D09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9E3-46B9-B8D6-C7983069D09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9E3-46B9-B8D6-C7983069D09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9E3-46B9-B8D6-C7983069D09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9E3-46B9-B8D6-C7983069D094}"/>
              </c:ext>
            </c:extLst>
          </c:dPt>
          <c:cat>
            <c:strRef>
              <c:f>'EM evol menusual lugar resd'!$B$31:$B$42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resd'!$N$31:$N$43</c:f>
              <c:numCache>
                <c:formatCode>0.00</c:formatCode>
                <c:ptCount val="13"/>
                <c:pt idx="0">
                  <c:v>-0.80546459627329181</c:v>
                </c:pt>
                <c:pt idx="1">
                  <c:v>1.3163408805914045E-3</c:v>
                </c:pt>
                <c:pt idx="2">
                  <c:v>0.79129995519665375</c:v>
                </c:pt>
                <c:pt idx="3">
                  <c:v>-0.42995607797499069</c:v>
                </c:pt>
                <c:pt idx="4">
                  <c:v>-0.57508051292348705</c:v>
                </c:pt>
                <c:pt idx="5">
                  <c:v>0.13514067826768361</c:v>
                </c:pt>
                <c:pt idx="6">
                  <c:v>0.38286520461890827</c:v>
                </c:pt>
                <c:pt idx="7">
                  <c:v>0.11372292148762764</c:v>
                </c:pt>
                <c:pt idx="8">
                  <c:v>-4.6110265570733056E-2</c:v>
                </c:pt>
                <c:pt idx="9">
                  <c:v>0.12867887581851711</c:v>
                </c:pt>
                <c:pt idx="10">
                  <c:v>0.95812259971334246</c:v>
                </c:pt>
                <c:pt idx="11">
                  <c:v>-0.15697297218707185</c:v>
                </c:pt>
                <c:pt idx="12">
                  <c:v>5.7798047931830965E-2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9E3-46B9-B8D6-C7983069D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B1-4CD3-AF3F-2405002C73AE}"/>
              </c:ext>
            </c:extLst>
          </c:dPt>
          <c:val>
            <c:numRef>
              <c:f>'EM evol menusual lugar resd'!$I$53:$I$65</c:f>
              <c:numCache>
                <c:formatCode>0.00</c:formatCode>
                <c:ptCount val="13"/>
                <c:pt idx="0">
                  <c:v>5.8958968347010554</c:v>
                </c:pt>
                <c:pt idx="1">
                  <c:v>5.6632508833922257</c:v>
                </c:pt>
                <c:pt idx="2">
                  <c:v>4.3027632205812294</c:v>
                </c:pt>
                <c:pt idx="3">
                  <c:v>4.441545480467636</c:v>
                </c:pt>
                <c:pt idx="4">
                  <c:v>4.5702598652550526</c:v>
                </c:pt>
                <c:pt idx="5">
                  <c:v>3.9241338112305852</c:v>
                </c:pt>
                <c:pt idx="6">
                  <c:v>4.8478407103457553</c:v>
                </c:pt>
                <c:pt idx="7">
                  <c:v>8.7609565950273911</c:v>
                </c:pt>
                <c:pt idx="8">
                  <c:v>4.5549738219895284</c:v>
                </c:pt>
                <c:pt idx="9">
                  <c:v>4.2007654836464861</c:v>
                </c:pt>
                <c:pt idx="10">
                  <c:v>4.7480719794344477</c:v>
                </c:pt>
                <c:pt idx="11">
                  <c:v>6.695100988397078</c:v>
                </c:pt>
                <c:pt idx="12">
                  <c:v>5.3578061216860808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B1-4CD3-AF3F-2405002C73AE}"/>
            </c:ext>
          </c:extLst>
        </c:ser>
        <c:ser>
          <c:idx val="0"/>
          <c:order val="2"/>
          <c:tx>
            <c:strRef>
              <c:f>'EM evol menusual lugar resd'!$K$51:$L$51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DB1-4CD3-AF3F-2405002C73A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resd'!$K$53:$K$65</c:f>
              <c:numCache>
                <c:formatCode>0.00</c:formatCode>
                <c:ptCount val="13"/>
                <c:pt idx="0">
                  <c:v>5.7822028624766642</c:v>
                </c:pt>
                <c:pt idx="1">
                  <c:v>5.2402392947103271</c:v>
                </c:pt>
                <c:pt idx="2">
                  <c:v>4.2800166181969255</c:v>
                </c:pt>
                <c:pt idx="3">
                  <c:v>4.3705595542140703</c:v>
                </c:pt>
                <c:pt idx="4">
                  <c:v>4.1132490379329303</c:v>
                </c:pt>
                <c:pt idx="5">
                  <c:v>4.4874932517545441</c:v>
                </c:pt>
                <c:pt idx="6">
                  <c:v>5.1919989472298989</c:v>
                </c:pt>
                <c:pt idx="7">
                  <c:v>5.306243386243386</c:v>
                </c:pt>
                <c:pt idx="8">
                  <c:v>4.8253863860572181</c:v>
                </c:pt>
                <c:pt idx="9">
                  <c:v>4.5680960548885077</c:v>
                </c:pt>
                <c:pt idx="10">
                  <c:v>4.9095318942517583</c:v>
                </c:pt>
                <c:pt idx="11">
                  <c:v>5.164757342220371</c:v>
                </c:pt>
                <c:pt idx="12">
                  <c:v>4.8541220307405686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B1-4CD3-AF3F-2405002C73AE}"/>
            </c:ext>
          </c:extLst>
        </c:ser>
        <c:ser>
          <c:idx val="1"/>
          <c:order val="3"/>
          <c:tx>
            <c:strRef>
              <c:f>'EM evol menusual lugar resd'!$M$51:$N$51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DB1-4CD3-AF3F-2405002C73A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DB1-4CD3-AF3F-2405002C73AE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resd'!$M$53:$M$65</c:f>
              <c:numCache>
                <c:formatCode>0.00</c:formatCode>
                <c:ptCount val="13"/>
                <c:pt idx="0">
                  <c:v>5.7631790206047633</c:v>
                </c:pt>
                <c:pt idx="1">
                  <c:v>5.3658263305322125</c:v>
                </c:pt>
                <c:pt idx="2">
                  <c:v>5.0126378058617904</c:v>
                </c:pt>
                <c:pt idx="3">
                  <c:v>4.5057225698153518</c:v>
                </c:pt>
                <c:pt idx="4">
                  <c:v>4.6648629778320823</c:v>
                </c:pt>
                <c:pt idx="5">
                  <c:v>4.916278295605859</c:v>
                </c:pt>
                <c:pt idx="6">
                  <c:v>5.6477197620621284</c:v>
                </c:pt>
                <c:pt idx="7">
                  <c:v>5.8780240801170249</c:v>
                </c:pt>
                <c:pt idx="8">
                  <c:v>5.5147271849348138</c:v>
                </c:pt>
                <c:pt idx="9">
                  <c:v>5.2534092870706024</c:v>
                </c:pt>
                <c:pt idx="10">
                  <c:v>5.0139211136890953</c:v>
                </c:pt>
                <c:pt idx="11">
                  <c:v>5.5156898938624828</c:v>
                </c:pt>
                <c:pt idx="12">
                  <c:v>5.2724498496611769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B1-4CD3-AF3F-2405002C7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DB1-4CD3-AF3F-2405002C73A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6.4704109589041092</c:v>
                      </c:pt>
                      <c:pt idx="1">
                        <c:v>5.418016194331984</c:v>
                      </c:pt>
                      <c:pt idx="2">
                        <c:v>5.7727987421383649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6.1453225806451615</c:v>
                      </c:pt>
                      <c:pt idx="8">
                        <c:v>5.920080591000672</c:v>
                      </c:pt>
                      <c:pt idx="9">
                        <c:v>4.9292088042831645</c:v>
                      </c:pt>
                      <c:pt idx="10">
                        <c:v>4.4172297297297298</c:v>
                      </c:pt>
                      <c:pt idx="11">
                        <c:v>4.6758080313418215</c:v>
                      </c:pt>
                      <c:pt idx="12">
                        <c:v>5.5458879618593562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DB1-4CD3-AF3F-2405002C73A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resd'!$N$52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DB1-4CD3-AF3F-2405002C73A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DB1-4CD3-AF3F-2405002C73A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DB1-4CD3-AF3F-2405002C73A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DB1-4CD3-AF3F-2405002C73A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DB1-4CD3-AF3F-2405002C73A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DB1-4CD3-AF3F-2405002C73A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DB1-4CD3-AF3F-2405002C73A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DB1-4CD3-AF3F-2405002C73A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DB1-4CD3-AF3F-2405002C73A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DB1-4CD3-AF3F-2405002C73A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DB1-4CD3-AF3F-2405002C73A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DB1-4CD3-AF3F-2405002C73A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DB1-4CD3-AF3F-2405002C73AE}"/>
              </c:ext>
            </c:extLst>
          </c:dPt>
          <c:cat>
            <c:strRef>
              <c:f>'EM evol menusual lugar resd'!$B$53:$B$64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resd'!$N$53:$N$65</c:f>
              <c:numCache>
                <c:formatCode>0.00</c:formatCode>
                <c:ptCount val="13"/>
                <c:pt idx="0">
                  <c:v>-1.9023841871900871E-2</c:v>
                </c:pt>
                <c:pt idx="1">
                  <c:v>0.12558703582188535</c:v>
                </c:pt>
                <c:pt idx="2">
                  <c:v>0.73262118766486495</c:v>
                </c:pt>
                <c:pt idx="3">
                  <c:v>0.13516301560128152</c:v>
                </c:pt>
                <c:pt idx="4">
                  <c:v>0.55161393989915197</c:v>
                </c:pt>
                <c:pt idx="5">
                  <c:v>0.428785043851315</c:v>
                </c:pt>
                <c:pt idx="6">
                  <c:v>0.45572081483222959</c:v>
                </c:pt>
                <c:pt idx="7">
                  <c:v>0.57178069387363895</c:v>
                </c:pt>
                <c:pt idx="8">
                  <c:v>0.6893407988775957</c:v>
                </c:pt>
                <c:pt idx="9">
                  <c:v>0.68531323218209472</c:v>
                </c:pt>
                <c:pt idx="10">
                  <c:v>0.10438921943733703</c:v>
                </c:pt>
                <c:pt idx="11">
                  <c:v>0.35093255164211179</c:v>
                </c:pt>
                <c:pt idx="12">
                  <c:v>0.41832781892060833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DB1-4CD3-AF3F-2405002C7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5C-4F29-8DC9-960FBED8D28D}"/>
              </c:ext>
            </c:extLst>
          </c:dPt>
          <c:val>
            <c:numRef>
              <c:f>'EM evol menusual lugar resd'!$I$75:$I$87</c:f>
              <c:numCache>
                <c:formatCode>0.00</c:formatCode>
                <c:ptCount val="13"/>
                <c:pt idx="0">
                  <c:v>4.6329824561403505</c:v>
                </c:pt>
                <c:pt idx="1">
                  <c:v>3.7690100430416069</c:v>
                </c:pt>
                <c:pt idx="2">
                  <c:v>3.0666340029397352</c:v>
                </c:pt>
                <c:pt idx="3">
                  <c:v>2.6192314441130025</c:v>
                </c:pt>
                <c:pt idx="4">
                  <c:v>2.6760998199125288</c:v>
                </c:pt>
                <c:pt idx="5">
                  <c:v>3.266274299982165</c:v>
                </c:pt>
                <c:pt idx="6">
                  <c:v>4.1404064396938507</c:v>
                </c:pt>
                <c:pt idx="7">
                  <c:v>4.6893287435456106</c:v>
                </c:pt>
                <c:pt idx="8">
                  <c:v>5.7946447851435972</c:v>
                </c:pt>
                <c:pt idx="9">
                  <c:v>4.6662830840046032</c:v>
                </c:pt>
                <c:pt idx="10">
                  <c:v>5.841721371261853</c:v>
                </c:pt>
                <c:pt idx="11">
                  <c:v>5.1691045308597934</c:v>
                </c:pt>
                <c:pt idx="12">
                  <c:v>4.1777608819616043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5C-4F29-8DC9-960FBED8D28D}"/>
            </c:ext>
          </c:extLst>
        </c:ser>
        <c:ser>
          <c:idx val="0"/>
          <c:order val="2"/>
          <c:tx>
            <c:strRef>
              <c:f>'EM evol menusual lugar resd'!$K$73:$L$73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65C-4F29-8DC9-960FBED8D28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resd'!$K$75:$K$87</c:f>
              <c:numCache>
                <c:formatCode>0.00</c:formatCode>
                <c:ptCount val="13"/>
                <c:pt idx="0">
                  <c:v>10.273040482342807</c:v>
                </c:pt>
                <c:pt idx="1">
                  <c:v>5.6968660968660965</c:v>
                </c:pt>
                <c:pt idx="2">
                  <c:v>4.6758620689655173</c:v>
                </c:pt>
                <c:pt idx="3">
                  <c:v>4.938816958618939</c:v>
                </c:pt>
                <c:pt idx="4">
                  <c:v>4.5723604735443342</c:v>
                </c:pt>
                <c:pt idx="5">
                  <c:v>4.3387507342862737</c:v>
                </c:pt>
                <c:pt idx="6">
                  <c:v>4.7078619504510959</c:v>
                </c:pt>
                <c:pt idx="7">
                  <c:v>4.167572556660855</c:v>
                </c:pt>
                <c:pt idx="8">
                  <c:v>4.6357219251336899</c:v>
                </c:pt>
                <c:pt idx="9">
                  <c:v>4.2438171371471398</c:v>
                </c:pt>
                <c:pt idx="10">
                  <c:v>3.7185978578383643</c:v>
                </c:pt>
                <c:pt idx="11">
                  <c:v>6.0773722627737223</c:v>
                </c:pt>
                <c:pt idx="12">
                  <c:v>4.7236470072876431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5C-4F29-8DC9-960FBED8D28D}"/>
            </c:ext>
          </c:extLst>
        </c:ser>
        <c:ser>
          <c:idx val="1"/>
          <c:order val="3"/>
          <c:tx>
            <c:strRef>
              <c:f>'EM evol menusual lugar resd'!$M$73:$N$73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5C-4F29-8DC9-960FBED8D28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5C-4F29-8DC9-960FBED8D28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resd'!$M$75:$M$87</c:f>
              <c:numCache>
                <c:formatCode>0.00</c:formatCode>
                <c:ptCount val="13"/>
                <c:pt idx="0">
                  <c:v>7.0179472798653952</c:v>
                </c:pt>
                <c:pt idx="1">
                  <c:v>5.4698795180722888</c:v>
                </c:pt>
                <c:pt idx="2">
                  <c:v>5.6972945380296069</c:v>
                </c:pt>
                <c:pt idx="3">
                  <c:v>3.9004048582995949</c:v>
                </c:pt>
                <c:pt idx="4">
                  <c:v>2.3005936319481921</c:v>
                </c:pt>
                <c:pt idx="5">
                  <c:v>4.081278147115591</c:v>
                </c:pt>
                <c:pt idx="6">
                  <c:v>4.9690085997079345</c:v>
                </c:pt>
                <c:pt idx="7">
                  <c:v>3.7915621436716078</c:v>
                </c:pt>
                <c:pt idx="8">
                  <c:v>3.8455352655386164</c:v>
                </c:pt>
                <c:pt idx="9">
                  <c:v>3.732262103505843</c:v>
                </c:pt>
                <c:pt idx="10">
                  <c:v>6.4880562060889932</c:v>
                </c:pt>
                <c:pt idx="11">
                  <c:v>5.1019266625233062</c:v>
                </c:pt>
                <c:pt idx="12">
                  <c:v>4.3116051976346093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65C-4F29-8DC9-960FBED8D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A65C-4F29-8DC9-960FBED8D28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7.3121748178980228</c:v>
                      </c:pt>
                      <c:pt idx="1">
                        <c:v>4.373746184038378</c:v>
                      </c:pt>
                      <c:pt idx="2">
                        <c:v>7.6828703703703702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3.2512923607122342</c:v>
                      </c:pt>
                      <c:pt idx="8">
                        <c:v>3.2019512195121953</c:v>
                      </c:pt>
                      <c:pt idx="9">
                        <c:v>2.7446132909956908</c:v>
                      </c:pt>
                      <c:pt idx="10">
                        <c:v>3.8462073764787754</c:v>
                      </c:pt>
                      <c:pt idx="11">
                        <c:v>2.8384615384615386</c:v>
                      </c:pt>
                      <c:pt idx="12">
                        <c:v>3.7144348105330764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A65C-4F29-8DC9-960FBED8D28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resd'!$N$74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65C-4F29-8DC9-960FBED8D28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65C-4F29-8DC9-960FBED8D28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A65C-4F29-8DC9-960FBED8D28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A65C-4F29-8DC9-960FBED8D28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65C-4F29-8DC9-960FBED8D28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A65C-4F29-8DC9-960FBED8D28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A65C-4F29-8DC9-960FBED8D28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A65C-4F29-8DC9-960FBED8D28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A65C-4F29-8DC9-960FBED8D28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A65C-4F29-8DC9-960FBED8D28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A65C-4F29-8DC9-960FBED8D28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A65C-4F29-8DC9-960FBED8D28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A65C-4F29-8DC9-960FBED8D28D}"/>
              </c:ext>
            </c:extLst>
          </c:dPt>
          <c:cat>
            <c:strRef>
              <c:f>'EM evol menusual lugar resd'!$B$75:$B$86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resd'!$N$75:$N$87</c:f>
              <c:numCache>
                <c:formatCode>0.00</c:formatCode>
                <c:ptCount val="13"/>
                <c:pt idx="0">
                  <c:v>-3.2550932024774122</c:v>
                </c:pt>
                <c:pt idx="1">
                  <c:v>-0.22698657879380768</c:v>
                </c:pt>
                <c:pt idx="2">
                  <c:v>1.0214324690640897</c:v>
                </c:pt>
                <c:pt idx="3">
                  <c:v>-1.0384121003193441</c:v>
                </c:pt>
                <c:pt idx="4">
                  <c:v>-2.2717668415961421</c:v>
                </c:pt>
                <c:pt idx="5">
                  <c:v>-0.25747258717068267</c:v>
                </c:pt>
                <c:pt idx="6">
                  <c:v>0.26114664925683861</c:v>
                </c:pt>
                <c:pt idx="7">
                  <c:v>-0.3760104129892472</c:v>
                </c:pt>
                <c:pt idx="8">
                  <c:v>-0.7901866595950735</c:v>
                </c:pt>
                <c:pt idx="9">
                  <c:v>-0.51155503364129684</c:v>
                </c:pt>
                <c:pt idx="10">
                  <c:v>2.769458348250629</c:v>
                </c:pt>
                <c:pt idx="11">
                  <c:v>-0.97544560025041616</c:v>
                </c:pt>
                <c:pt idx="12">
                  <c:v>-0.41204180965303383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65C-4F29-8DC9-960FBED8D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61-42B8-BBF9-CE10BF5BFC24}"/>
              </c:ext>
            </c:extLst>
          </c:dPt>
          <c:val>
            <c:numRef>
              <c:f>'EM evol menusual lugar resd'!$I$97:$I$109</c:f>
              <c:numCache>
                <c:formatCode>0.00</c:formatCode>
                <c:ptCount val="13"/>
                <c:pt idx="0">
                  <c:v>8.0776569159140159</c:v>
                </c:pt>
                <c:pt idx="1">
                  <c:v>7.6832126923194721</c:v>
                </c:pt>
                <c:pt idx="2">
                  <c:v>7.3495983117988963</c:v>
                </c:pt>
                <c:pt idx="3">
                  <c:v>6.9855571525532003</c:v>
                </c:pt>
                <c:pt idx="4">
                  <c:v>7.2427163643341723</c:v>
                </c:pt>
                <c:pt idx="5">
                  <c:v>7.3186980026877029</c:v>
                </c:pt>
                <c:pt idx="6">
                  <c:v>8.1952106050887323</c:v>
                </c:pt>
                <c:pt idx="7">
                  <c:v>8.4153045525416381</c:v>
                </c:pt>
                <c:pt idx="8">
                  <c:v>7.7166896208928328</c:v>
                </c:pt>
                <c:pt idx="9">
                  <c:v>7.4843275943999705</c:v>
                </c:pt>
                <c:pt idx="10">
                  <c:v>7.585129652825815</c:v>
                </c:pt>
                <c:pt idx="11">
                  <c:v>7.5471765135078055</c:v>
                </c:pt>
                <c:pt idx="12">
                  <c:v>7.6295319550766143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61-42B8-BBF9-CE10BF5BFC24}"/>
            </c:ext>
          </c:extLst>
        </c:ser>
        <c:ser>
          <c:idx val="0"/>
          <c:order val="2"/>
          <c:tx>
            <c:strRef>
              <c:f>'EM evol menusual lugar resd'!$K$95:$L$95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61-42B8-BBF9-CE10BF5BFC2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resd'!$K$97:$K$109</c:f>
              <c:numCache>
                <c:formatCode>0.00</c:formatCode>
                <c:ptCount val="13"/>
                <c:pt idx="0">
                  <c:v>8.2303954663556951</c:v>
                </c:pt>
                <c:pt idx="1">
                  <c:v>7.4371709453478081</c:v>
                </c:pt>
                <c:pt idx="2">
                  <c:v>7.247811011487812</c:v>
                </c:pt>
                <c:pt idx="3">
                  <c:v>7.1371846983741074</c:v>
                </c:pt>
                <c:pt idx="4">
                  <c:v>6.9829152891334907</c:v>
                </c:pt>
                <c:pt idx="5">
                  <c:v>7.2094211786694702</c:v>
                </c:pt>
                <c:pt idx="6">
                  <c:v>7.7253439183229169</c:v>
                </c:pt>
                <c:pt idx="7">
                  <c:v>7.9033183772667792</c:v>
                </c:pt>
                <c:pt idx="8">
                  <c:v>7.5369796698973035</c:v>
                </c:pt>
                <c:pt idx="9">
                  <c:v>7.1732973526425852</c:v>
                </c:pt>
                <c:pt idx="10">
                  <c:v>7.3286089531181835</c:v>
                </c:pt>
                <c:pt idx="11">
                  <c:v>7.3534830273656508</c:v>
                </c:pt>
                <c:pt idx="12">
                  <c:v>7.432853452385908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61-42B8-BBF9-CE10BF5BFC24}"/>
            </c:ext>
          </c:extLst>
        </c:ser>
        <c:ser>
          <c:idx val="1"/>
          <c:order val="3"/>
          <c:tx>
            <c:strRef>
              <c:f>'EM evol menusual lugar resd'!$M$95:$N$95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61-42B8-BBF9-CE10BF5BFC2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61-42B8-BBF9-CE10BF5BFC2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resd'!$M$97:$M$109</c:f>
              <c:numCache>
                <c:formatCode>0.00</c:formatCode>
                <c:ptCount val="13"/>
                <c:pt idx="0">
                  <c:v>8.1584494081636603</c:v>
                </c:pt>
                <c:pt idx="1">
                  <c:v>7.1453087571086362</c:v>
                </c:pt>
                <c:pt idx="2">
                  <c:v>6.7977450646698436</c:v>
                </c:pt>
                <c:pt idx="3">
                  <c:v>6.8197604848673521</c:v>
                </c:pt>
                <c:pt idx="4">
                  <c:v>6.5876846692984667</c:v>
                </c:pt>
                <c:pt idx="5">
                  <c:v>7.1394270045918509</c:v>
                </c:pt>
                <c:pt idx="6">
                  <c:v>7.6424042178009728</c:v>
                </c:pt>
                <c:pt idx="7">
                  <c:v>7.7705676336483185</c:v>
                </c:pt>
                <c:pt idx="8">
                  <c:v>7.3111419726296907</c:v>
                </c:pt>
                <c:pt idx="9">
                  <c:v>7.1026621046482514</c:v>
                </c:pt>
                <c:pt idx="10">
                  <c:v>6.9580899911457728</c:v>
                </c:pt>
                <c:pt idx="11">
                  <c:v>7.3826590939929053</c:v>
                </c:pt>
                <c:pt idx="12">
                  <c:v>7.22786988641072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F61-42B8-BBF9-CE10BF5BF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F61-42B8-BBF9-CE10BF5BFC2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8.8097432995524461</c:v>
                      </c:pt>
                      <c:pt idx="1">
                        <c:v>8.0829859183364459</c:v>
                      </c:pt>
                      <c:pt idx="2">
                        <c:v>9.413782510751588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7.3959975055275242</c:v>
                      </c:pt>
                      <c:pt idx="8">
                        <c:v>6.7584219059628898</c:v>
                      </c:pt>
                      <c:pt idx="9">
                        <c:v>5.2482198086743868</c:v>
                      </c:pt>
                      <c:pt idx="10">
                        <c:v>7.2074655905455067</c:v>
                      </c:pt>
                      <c:pt idx="11">
                        <c:v>7.2810240764077738</c:v>
                      </c:pt>
                      <c:pt idx="12">
                        <c:v>8.0875504117928827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F61-42B8-BBF9-CE10BF5BFC2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resd'!$N$96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F61-42B8-BBF9-CE10BF5BFC2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F61-42B8-BBF9-CE10BF5BFC2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F61-42B8-BBF9-CE10BF5BFC2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F61-42B8-BBF9-CE10BF5BFC2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F61-42B8-BBF9-CE10BF5BFC2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F61-42B8-BBF9-CE10BF5BFC2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F61-42B8-BBF9-CE10BF5BFC2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F61-42B8-BBF9-CE10BF5BFC2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F61-42B8-BBF9-CE10BF5BFC2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F61-42B8-BBF9-CE10BF5BFC2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F61-42B8-BBF9-CE10BF5BFC2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F61-42B8-BBF9-CE10BF5BFC2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F61-42B8-BBF9-CE10BF5BFC24}"/>
              </c:ext>
            </c:extLst>
          </c:dPt>
          <c:cat>
            <c:strRef>
              <c:f>'EM evol menusual lugar resd'!$B$97:$B$108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resd'!$N$97:$N$109</c:f>
              <c:numCache>
                <c:formatCode>0.00</c:formatCode>
                <c:ptCount val="13"/>
                <c:pt idx="0">
                  <c:v>-7.1946058192034812E-2</c:v>
                </c:pt>
                <c:pt idx="1">
                  <c:v>-0.29186218823917187</c:v>
                </c:pt>
                <c:pt idx="2">
                  <c:v>-0.45006594681796841</c:v>
                </c:pt>
                <c:pt idx="3">
                  <c:v>-0.31742421350675531</c:v>
                </c:pt>
                <c:pt idx="4">
                  <c:v>-0.39523061983502394</c:v>
                </c:pt>
                <c:pt idx="5">
                  <c:v>-6.999417407761932E-2</c:v>
                </c:pt>
                <c:pt idx="6">
                  <c:v>-8.2939700521944104E-2</c:v>
                </c:pt>
                <c:pt idx="7">
                  <c:v>-0.13275074361846073</c:v>
                </c:pt>
                <c:pt idx="8">
                  <c:v>-0.22583769726761282</c:v>
                </c:pt>
                <c:pt idx="9">
                  <c:v>-7.0635247994333739E-2</c:v>
                </c:pt>
                <c:pt idx="10">
                  <c:v>-0.37051896197241074</c:v>
                </c:pt>
                <c:pt idx="11">
                  <c:v>2.9176066627254471E-2</c:v>
                </c:pt>
                <c:pt idx="12">
                  <c:v>-0.20498356597518796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F61-42B8-BBF9-CE10BF5BF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DC-4DBB-81D4-FA3E894FA926}"/>
              </c:ext>
            </c:extLst>
          </c:dPt>
          <c:val>
            <c:numRef>
              <c:f>'EM evol menusual lugar resd'!$I$119:$I$131</c:f>
              <c:numCache>
                <c:formatCode>0.00</c:formatCode>
                <c:ptCount val="13"/>
                <c:pt idx="0">
                  <c:v>7.8572825275941032</c:v>
                </c:pt>
                <c:pt idx="1">
                  <c:v>7.1998924652344991</c:v>
                </c:pt>
                <c:pt idx="2">
                  <c:v>6.6670311047941837</c:v>
                </c:pt>
                <c:pt idx="3">
                  <c:v>6.7026205151230664</c:v>
                </c:pt>
                <c:pt idx="4">
                  <c:v>6.8880018826255389</c:v>
                </c:pt>
                <c:pt idx="5">
                  <c:v>7.0327701981644752</c:v>
                </c:pt>
                <c:pt idx="6">
                  <c:v>8.1087326889664819</c:v>
                </c:pt>
                <c:pt idx="7">
                  <c:v>8.2147539802607881</c:v>
                </c:pt>
                <c:pt idx="8">
                  <c:v>7.2474372453673279</c:v>
                </c:pt>
                <c:pt idx="9">
                  <c:v>7.4310219287105239</c:v>
                </c:pt>
                <c:pt idx="10">
                  <c:v>6.9971041900596891</c:v>
                </c:pt>
                <c:pt idx="11">
                  <c:v>7.1482471596087249</c:v>
                </c:pt>
                <c:pt idx="12">
                  <c:v>7.2920026595828489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DC-4DBB-81D4-FA3E894FA926}"/>
            </c:ext>
          </c:extLst>
        </c:ser>
        <c:ser>
          <c:idx val="0"/>
          <c:order val="2"/>
          <c:tx>
            <c:strRef>
              <c:f>'EM evol menusual lugar resd'!$K$117:$L$117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9DC-4DBB-81D4-FA3E894FA92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resd'!$K$119:$K$131</c:f>
              <c:numCache>
                <c:formatCode>0.00</c:formatCode>
                <c:ptCount val="13"/>
                <c:pt idx="0">
                  <c:v>8.0684486097496837</c:v>
                </c:pt>
                <c:pt idx="1">
                  <c:v>6.8962858384013899</c:v>
                </c:pt>
                <c:pt idx="2">
                  <c:v>6.5950701691255844</c:v>
                </c:pt>
                <c:pt idx="3">
                  <c:v>6.7122518964979738</c:v>
                </c:pt>
                <c:pt idx="4">
                  <c:v>6.8473654390934842</c:v>
                </c:pt>
                <c:pt idx="5">
                  <c:v>6.9228213762590034</c:v>
                </c:pt>
                <c:pt idx="6">
                  <c:v>7.6405631255651523</c:v>
                </c:pt>
                <c:pt idx="7">
                  <c:v>7.6770740552233105</c:v>
                </c:pt>
                <c:pt idx="8">
                  <c:v>7.2730435611476505</c:v>
                </c:pt>
                <c:pt idx="9">
                  <c:v>7.0879788979316114</c:v>
                </c:pt>
                <c:pt idx="10">
                  <c:v>6.6929785888171134</c:v>
                </c:pt>
                <c:pt idx="11">
                  <c:v>6.9360909000299014</c:v>
                </c:pt>
                <c:pt idx="12">
                  <c:v>7.1072842722383207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DC-4DBB-81D4-FA3E894FA926}"/>
            </c:ext>
          </c:extLst>
        </c:ser>
        <c:ser>
          <c:idx val="1"/>
          <c:order val="3"/>
          <c:tx>
            <c:strRef>
              <c:f>'EM evol menusual lugar resd'!$M$117:$N$117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DC-4DBB-81D4-FA3E894FA926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DC-4DBB-81D4-FA3E894FA926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resd'!$M$119:$M$131</c:f>
              <c:numCache>
                <c:formatCode>0.00</c:formatCode>
                <c:ptCount val="13"/>
                <c:pt idx="0">
                  <c:v>7.8521769509585573</c:v>
                </c:pt>
                <c:pt idx="1">
                  <c:v>6.6720739874561499</c:v>
                </c:pt>
                <c:pt idx="2">
                  <c:v>6.3184449093444908</c:v>
                </c:pt>
                <c:pt idx="3">
                  <c:v>6.6233323871700254</c:v>
                </c:pt>
                <c:pt idx="4">
                  <c:v>6.4545549566230163</c:v>
                </c:pt>
                <c:pt idx="5">
                  <c:v>7.0121159280861045</c:v>
                </c:pt>
                <c:pt idx="6">
                  <c:v>7.5539329622606886</c:v>
                </c:pt>
                <c:pt idx="7">
                  <c:v>7.6345100327401214</c:v>
                </c:pt>
                <c:pt idx="8">
                  <c:v>7.2775205594767858</c:v>
                </c:pt>
                <c:pt idx="9">
                  <c:v>7.1671062315996075</c:v>
                </c:pt>
                <c:pt idx="10">
                  <c:v>6.9335738624974947</c:v>
                </c:pt>
                <c:pt idx="11">
                  <c:v>7.2316807118107542</c:v>
                </c:pt>
                <c:pt idx="12">
                  <c:v>7.0579315803794493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9DC-4DBB-81D4-FA3E894FA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9DC-4DBB-81D4-FA3E894FA92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resd'!$C$119:$C$131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8.7500589594830434</c:v>
                      </c:pt>
                      <c:pt idx="1">
                        <c:v>7.8022204315516159</c:v>
                      </c:pt>
                      <c:pt idx="2">
                        <c:v>9.2818587662337659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7.2573462310640631</c:v>
                      </c:pt>
                      <c:pt idx="8">
                        <c:v>6.9742889647326507</c:v>
                      </c:pt>
                      <c:pt idx="9">
                        <c:v>5.0265500306936772</c:v>
                      </c:pt>
                      <c:pt idx="10">
                        <c:v>7.6071662089708383</c:v>
                      </c:pt>
                      <c:pt idx="11">
                        <c:v>7.4396250000000004</c:v>
                      </c:pt>
                      <c:pt idx="12">
                        <c:v>8.0109965119692017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9DC-4DBB-81D4-FA3E894FA92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resd'!$N$118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9DC-4DBB-81D4-FA3E894FA926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9DC-4DBB-81D4-FA3E894FA926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9DC-4DBB-81D4-FA3E894FA926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9DC-4DBB-81D4-FA3E894FA926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9DC-4DBB-81D4-FA3E894FA926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9DC-4DBB-81D4-FA3E894FA926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9DC-4DBB-81D4-FA3E894FA926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9DC-4DBB-81D4-FA3E894FA926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9DC-4DBB-81D4-FA3E894FA926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9DC-4DBB-81D4-FA3E894FA926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9DC-4DBB-81D4-FA3E894FA926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9DC-4DBB-81D4-FA3E894FA926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9DC-4DBB-81D4-FA3E894FA926}"/>
              </c:ext>
            </c:extLst>
          </c:dPt>
          <c:cat>
            <c:strRef>
              <c:f>'EM evol menusual lugar resd'!$B$119:$B$130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resd'!$N$119:$N$131</c:f>
              <c:numCache>
                <c:formatCode>0.00</c:formatCode>
                <c:ptCount val="13"/>
                <c:pt idx="0">
                  <c:v>-0.21627165879112642</c:v>
                </c:pt>
                <c:pt idx="1">
                  <c:v>-0.22421185094523999</c:v>
                </c:pt>
                <c:pt idx="2">
                  <c:v>-0.27662525978109365</c:v>
                </c:pt>
                <c:pt idx="3">
                  <c:v>-8.8919509327948454E-2</c:v>
                </c:pt>
                <c:pt idx="4">
                  <c:v>-0.3928104824704679</c:v>
                </c:pt>
                <c:pt idx="5">
                  <c:v>8.929455182710111E-2</c:v>
                </c:pt>
                <c:pt idx="6">
                  <c:v>-8.6630163304463714E-2</c:v>
                </c:pt>
                <c:pt idx="7">
                  <c:v>-4.2564022483189135E-2</c:v>
                </c:pt>
                <c:pt idx="8">
                  <c:v>4.4769983291352844E-3</c:v>
                </c:pt>
                <c:pt idx="9">
                  <c:v>7.9127333667996069E-2</c:v>
                </c:pt>
                <c:pt idx="10">
                  <c:v>0.24059527368038136</c:v>
                </c:pt>
                <c:pt idx="11">
                  <c:v>0.29558981178085286</c:v>
                </c:pt>
                <c:pt idx="12">
                  <c:v>-4.9352691858871367E-2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9DC-4DBB-81D4-FA3E894FA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6198377665"/>
          <c:y val="0.148808020619044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'EM evol menusual lugar resd'!$I$139:$J$139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2-476A-AFAF-650DF0B27964}"/>
              </c:ext>
            </c:extLst>
          </c:dPt>
          <c:val>
            <c:numRef>
              <c:f>'EM evol menusual lugar resd'!$I$141:$I$153</c:f>
              <c:numCache>
                <c:formatCode>0.00</c:formatCode>
                <c:ptCount val="13"/>
                <c:pt idx="0">
                  <c:v>8.3375719769673697</c:v>
                </c:pt>
                <c:pt idx="1">
                  <c:v>8.6180293501048215</c:v>
                </c:pt>
                <c:pt idx="2">
                  <c:v>6.9426764585883314</c:v>
                </c:pt>
                <c:pt idx="3">
                  <c:v>7.6405925155925152</c:v>
                </c:pt>
                <c:pt idx="4">
                  <c:v>8.4921241050119338</c:v>
                </c:pt>
                <c:pt idx="5">
                  <c:v>7.9044607190412783</c:v>
                </c:pt>
                <c:pt idx="6">
                  <c:v>8.3269841269841276</c:v>
                </c:pt>
                <c:pt idx="7">
                  <c:v>7.833650190114068</c:v>
                </c:pt>
                <c:pt idx="8">
                  <c:v>9.021781534460338</c:v>
                </c:pt>
                <c:pt idx="9">
                  <c:v>7.6678996036988112</c:v>
                </c:pt>
                <c:pt idx="10">
                  <c:v>7.7531120331950207</c:v>
                </c:pt>
                <c:pt idx="11">
                  <c:v>7.5746733668341708</c:v>
                </c:pt>
                <c:pt idx="12">
                  <c:v>7.9426405727077283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32-476A-AFAF-650DF0B27964}"/>
            </c:ext>
          </c:extLst>
        </c:ser>
        <c:ser>
          <c:idx val="0"/>
          <c:order val="3"/>
          <c:tx>
            <c:strRef>
              <c:f>'EM evol menusual lugar resd'!$K$139:$L$139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232-476A-AFAF-650DF0B2796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resd'!$K$141:$K$153</c:f>
              <c:numCache>
                <c:formatCode>0.00</c:formatCode>
                <c:ptCount val="13"/>
                <c:pt idx="0">
                  <c:v>8.2255583126550871</c:v>
                </c:pt>
                <c:pt idx="1">
                  <c:v>7.8953536184210522</c:v>
                </c:pt>
                <c:pt idx="2">
                  <c:v>7.061682607846965</c:v>
                </c:pt>
                <c:pt idx="3">
                  <c:v>8.7732676138011012</c:v>
                </c:pt>
                <c:pt idx="4">
                  <c:v>6.7299377061194576</c:v>
                </c:pt>
                <c:pt idx="5">
                  <c:v>8.5098308184727944</c:v>
                </c:pt>
                <c:pt idx="6">
                  <c:v>8.7405295315682281</c:v>
                </c:pt>
                <c:pt idx="7">
                  <c:v>8.2956239870340358</c:v>
                </c:pt>
                <c:pt idx="8">
                  <c:v>8.4622434017595314</c:v>
                </c:pt>
                <c:pt idx="9">
                  <c:v>7.5347514222112295</c:v>
                </c:pt>
                <c:pt idx="10">
                  <c:v>8.7660125080871261</c:v>
                </c:pt>
                <c:pt idx="11">
                  <c:v>8.1038483852252945</c:v>
                </c:pt>
                <c:pt idx="12">
                  <c:v>8.0473697220287193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32-476A-AFAF-650DF0B27964}"/>
            </c:ext>
          </c:extLst>
        </c:ser>
        <c:ser>
          <c:idx val="1"/>
          <c:order val="4"/>
          <c:tx>
            <c:strRef>
              <c:f>'EM evol menusual lugar resd'!$M$139:$N$139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2-476A-AFAF-650DF0B2796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2-476A-AFAF-650DF0B27964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resd'!$M$141:$M$153</c:f>
              <c:numCache>
                <c:formatCode>0.00</c:formatCode>
                <c:ptCount val="13"/>
                <c:pt idx="0">
                  <c:v>7.8507638072855466</c:v>
                </c:pt>
                <c:pt idx="1">
                  <c:v>7.3172382671480145</c:v>
                </c:pt>
                <c:pt idx="2">
                  <c:v>7.015480498592682</c:v>
                </c:pt>
                <c:pt idx="3">
                  <c:v>6.9936764064544263</c:v>
                </c:pt>
                <c:pt idx="4">
                  <c:v>7.045891931902295</c:v>
                </c:pt>
                <c:pt idx="5">
                  <c:v>7.7001270648030493</c:v>
                </c:pt>
                <c:pt idx="6">
                  <c:v>8.2076719576719572</c:v>
                </c:pt>
                <c:pt idx="7">
                  <c:v>8.2979827089337181</c:v>
                </c:pt>
                <c:pt idx="8">
                  <c:v>8.442612752721617</c:v>
                </c:pt>
                <c:pt idx="9">
                  <c:v>7.1342542628966115</c:v>
                </c:pt>
                <c:pt idx="10">
                  <c:v>7.0274936061381075</c:v>
                </c:pt>
                <c:pt idx="11">
                  <c:v>7.5214056368176951</c:v>
                </c:pt>
                <c:pt idx="12">
                  <c:v>7.4753981034174268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32-476A-AFAF-650DF0B27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232-476A-AFAF-650DF0B2796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resd'!$C$141:$C$153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9.5090715048025611</c:v>
                      </c:pt>
                      <c:pt idx="1">
                        <c:v>9.3424392342439226</c:v>
                      </c:pt>
                      <c:pt idx="2">
                        <c:v>7.4761502743773747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8.481906443071491</c:v>
                      </c:pt>
                      <c:pt idx="8">
                        <c:v>11.390756302521009</c:v>
                      </c:pt>
                      <c:pt idx="9">
                        <c:v>4.0893371757925072</c:v>
                      </c:pt>
                      <c:pt idx="10">
                        <c:v>7.0916473317865432</c:v>
                      </c:pt>
                      <c:pt idx="11">
                        <c:v>8.4836065573770494</c:v>
                      </c:pt>
                      <c:pt idx="12">
                        <c:v>8.6537533263196984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232-476A-AFAF-650DF0B27964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 evol menusual lugar resd'!$G$139:$H$139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7232-476A-AFAF-650DF0B27964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('EM evol menusual lugar resd'!$G$141:$G$152,'EM evol menusual lugar resd'!$G$153)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7.9859154929577461</c:v>
                      </c:pt>
                      <c:pt idx="1">
                        <c:v>7.6964968152866238</c:v>
                      </c:pt>
                      <c:pt idx="2">
                        <c:v>7.957861469581248</c:v>
                      </c:pt>
                      <c:pt idx="3">
                        <c:v>7.6099382080329558</c:v>
                      </c:pt>
                      <c:pt idx="4">
                        <c:v>8.9834313201496521</c:v>
                      </c:pt>
                      <c:pt idx="5">
                        <c:v>8.091552226383687</c:v>
                      </c:pt>
                      <c:pt idx="6">
                        <c:v>8.8038082284937094</c:v>
                      </c:pt>
                      <c:pt idx="7">
                        <c:v>9.3174354964816271</c:v>
                      </c:pt>
                      <c:pt idx="8">
                        <c:v>7.8615384615384611</c:v>
                      </c:pt>
                      <c:pt idx="9">
                        <c:v>6.9212454212454215</c:v>
                      </c:pt>
                      <c:pt idx="10">
                        <c:v>7.9767991407089154</c:v>
                      </c:pt>
                      <c:pt idx="11">
                        <c:v>7.4764606977721728</c:v>
                      </c:pt>
                      <c:pt idx="12">
                        <c:v>7.9646805896805901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7232-476A-AFAF-650DF0B2796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'EM evol menusual lugar resd'!$N$140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232-476A-AFAF-650DF0B2796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232-476A-AFAF-650DF0B2796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232-476A-AFAF-650DF0B2796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232-476A-AFAF-650DF0B2796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232-476A-AFAF-650DF0B2796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232-476A-AFAF-650DF0B2796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232-476A-AFAF-650DF0B2796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232-476A-AFAF-650DF0B2796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232-476A-AFAF-650DF0B2796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232-476A-AFAF-650DF0B2796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232-476A-AFAF-650DF0B2796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232-476A-AFAF-650DF0B2796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232-476A-AFAF-650DF0B27964}"/>
              </c:ext>
            </c:extLst>
          </c:dPt>
          <c:cat>
            <c:strRef>
              <c:f>'EM evol menusual lugar resd'!$B$141:$B$152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resd'!$N$141:$N$153</c:f>
              <c:numCache>
                <c:formatCode>0.00</c:formatCode>
                <c:ptCount val="13"/>
                <c:pt idx="0">
                  <c:v>-0.37479450536954051</c:v>
                </c:pt>
                <c:pt idx="1">
                  <c:v>-0.5781153512730377</c:v>
                </c:pt>
                <c:pt idx="2">
                  <c:v>-4.620210925428303E-2</c:v>
                </c:pt>
                <c:pt idx="3">
                  <c:v>-1.7795912073466749</c:v>
                </c:pt>
                <c:pt idx="4">
                  <c:v>0.31595422578283738</c:v>
                </c:pt>
                <c:pt idx="5">
                  <c:v>-0.80970375366974512</c:v>
                </c:pt>
                <c:pt idx="6">
                  <c:v>-0.53285757389627086</c:v>
                </c:pt>
                <c:pt idx="7">
                  <c:v>2.3587218996823367E-3</c:v>
                </c:pt>
                <c:pt idx="8">
                  <c:v>-1.9630649037914338E-2</c:v>
                </c:pt>
                <c:pt idx="9">
                  <c:v>-0.40049715931461805</c:v>
                </c:pt>
                <c:pt idx="10">
                  <c:v>-1.7385189019490186</c:v>
                </c:pt>
                <c:pt idx="11">
                  <c:v>-0.58244274840759935</c:v>
                </c:pt>
                <c:pt idx="12">
                  <c:v>-0.57197161861129242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232-476A-AFAF-650DF0B27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B9-488B-8634-F8AEDFBF1E7D}"/>
              </c:ext>
            </c:extLst>
          </c:dPt>
          <c:val>
            <c:numRef>
              <c:f>'EM evol menusual lugar resd'!$I$163:$I$175</c:f>
              <c:numCache>
                <c:formatCode>0.00</c:formatCode>
                <c:ptCount val="13"/>
                <c:pt idx="0">
                  <c:v>8.6011770031688553</c:v>
                </c:pt>
                <c:pt idx="1">
                  <c:v>7.0878425860857339</c:v>
                </c:pt>
                <c:pt idx="2">
                  <c:v>8.7546928327645048</c:v>
                </c:pt>
                <c:pt idx="3">
                  <c:v>7.087134502923977</c:v>
                </c:pt>
                <c:pt idx="4">
                  <c:v>8.4859525899912196</c:v>
                </c:pt>
                <c:pt idx="5">
                  <c:v>9.0575418994413415</c:v>
                </c:pt>
                <c:pt idx="6">
                  <c:v>8.2518445646827345</c:v>
                </c:pt>
                <c:pt idx="7">
                  <c:v>9.676109215017064</c:v>
                </c:pt>
                <c:pt idx="8">
                  <c:v>10.120506329113924</c:v>
                </c:pt>
                <c:pt idx="9">
                  <c:v>8.2170378225521379</c:v>
                </c:pt>
                <c:pt idx="10">
                  <c:v>9.6416397973284198</c:v>
                </c:pt>
                <c:pt idx="11">
                  <c:v>9.2547491475888943</c:v>
                </c:pt>
                <c:pt idx="12">
                  <c:v>8.5798185469907882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B9-488B-8634-F8AEDFBF1E7D}"/>
            </c:ext>
          </c:extLst>
        </c:ser>
        <c:ser>
          <c:idx val="0"/>
          <c:order val="2"/>
          <c:tx>
            <c:strRef>
              <c:f>'EM evol menusual lugar resd'!$K$161:$L$161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FB9-488B-8634-F8AEDFBF1E7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resd'!$K$163:$K$175</c:f>
              <c:numCache>
                <c:formatCode>0.00</c:formatCode>
                <c:ptCount val="13"/>
                <c:pt idx="0">
                  <c:v>8.8268962308050263</c:v>
                </c:pt>
                <c:pt idx="1">
                  <c:v>6.7028140013726834</c:v>
                </c:pt>
                <c:pt idx="2">
                  <c:v>8.3068920676202858</c:v>
                </c:pt>
                <c:pt idx="3">
                  <c:v>7.6285998013902683</c:v>
                </c:pt>
                <c:pt idx="4">
                  <c:v>8.477672530446549</c:v>
                </c:pt>
                <c:pt idx="5">
                  <c:v>8.6951278340569225</c:v>
                </c:pt>
                <c:pt idx="6">
                  <c:v>9.6268456375838927</c:v>
                </c:pt>
                <c:pt idx="7">
                  <c:v>8.7766185946609383</c:v>
                </c:pt>
                <c:pt idx="8">
                  <c:v>9.769729729729729</c:v>
                </c:pt>
                <c:pt idx="9">
                  <c:v>7.9131231671554252</c:v>
                </c:pt>
                <c:pt idx="10">
                  <c:v>8.7458977965307074</c:v>
                </c:pt>
                <c:pt idx="11">
                  <c:v>8.897830018083182</c:v>
                </c:pt>
                <c:pt idx="12">
                  <c:v>8.4420922400164962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B9-488B-8634-F8AEDFBF1E7D}"/>
            </c:ext>
          </c:extLst>
        </c:ser>
        <c:ser>
          <c:idx val="1"/>
          <c:order val="3"/>
          <c:tx>
            <c:strRef>
              <c:f>'EM evol menusual lugar resd'!$M$161:$N$161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FB9-488B-8634-F8AEDFBF1E7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FB9-488B-8634-F8AEDFBF1E7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resd'!$M$163:$M$175</c:f>
              <c:numCache>
                <c:formatCode>0.00</c:formatCode>
                <c:ptCount val="13"/>
                <c:pt idx="0">
                  <c:v>8.8061916878710775</c:v>
                </c:pt>
                <c:pt idx="1">
                  <c:v>7.1715417428397314</c:v>
                </c:pt>
                <c:pt idx="2">
                  <c:v>7.7336080929186961</c:v>
                </c:pt>
                <c:pt idx="3">
                  <c:v>7.1565849923430322</c:v>
                </c:pt>
                <c:pt idx="4">
                  <c:v>7.1006600660066006</c:v>
                </c:pt>
                <c:pt idx="5">
                  <c:v>7.7918905715681488</c:v>
                </c:pt>
                <c:pt idx="6">
                  <c:v>8.1757754800590838</c:v>
                </c:pt>
                <c:pt idx="7">
                  <c:v>8.492403689636463</c:v>
                </c:pt>
                <c:pt idx="8">
                  <c:v>8.0982472324723247</c:v>
                </c:pt>
                <c:pt idx="9">
                  <c:v>7.094327176781003</c:v>
                </c:pt>
                <c:pt idx="10">
                  <c:v>6.8214685054043978</c:v>
                </c:pt>
                <c:pt idx="11">
                  <c:v>7.2388604821037257</c:v>
                </c:pt>
                <c:pt idx="12">
                  <c:v>7.6350788409911443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FB9-488B-8634-F8AEDFBF1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CFB9-488B-8634-F8AEDFBF1E7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resd'!$C$163:$C$175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7.7611301369863011</c:v>
                      </c:pt>
                      <c:pt idx="1">
                        <c:v>7.2339095255608683</c:v>
                      </c:pt>
                      <c:pt idx="2">
                        <c:v>7.821236559139785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7.9475890985324948</c:v>
                      </c:pt>
                      <c:pt idx="8">
                        <c:v>6.5869565217391308</c:v>
                      </c:pt>
                      <c:pt idx="9">
                        <c:v>5.5279225614296355</c:v>
                      </c:pt>
                      <c:pt idx="10">
                        <c:v>6.1956521739130439</c:v>
                      </c:pt>
                      <c:pt idx="11">
                        <c:v>5.0719225449515903</c:v>
                      </c:pt>
                      <c:pt idx="12">
                        <c:v>6.9931972789115644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CFB9-488B-8634-F8AEDFBF1E7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resd'!$N$162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CFB9-488B-8634-F8AEDFBF1E7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CFB9-488B-8634-F8AEDFBF1E7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CFB9-488B-8634-F8AEDFBF1E7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FB9-488B-8634-F8AEDFBF1E7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CFB9-488B-8634-F8AEDFBF1E7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CFB9-488B-8634-F8AEDFBF1E7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CFB9-488B-8634-F8AEDFBF1E7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FB9-488B-8634-F8AEDFBF1E7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FB9-488B-8634-F8AEDFBF1E7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FB9-488B-8634-F8AEDFBF1E7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FB9-488B-8634-F8AEDFBF1E7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FB9-488B-8634-F8AEDFBF1E7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FB9-488B-8634-F8AEDFBF1E7D}"/>
              </c:ext>
            </c:extLst>
          </c:dPt>
          <c:cat>
            <c:strRef>
              <c:f>'EM evol menusual lugar resd'!$B$163:$B$174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resd'!$N$163:$N$175</c:f>
              <c:numCache>
                <c:formatCode>0.00</c:formatCode>
                <c:ptCount val="13"/>
                <c:pt idx="0">
                  <c:v>-2.0704542933948744E-2</c:v>
                </c:pt>
                <c:pt idx="1">
                  <c:v>0.4687277414670481</c:v>
                </c:pt>
                <c:pt idx="2">
                  <c:v>-0.57328397470158965</c:v>
                </c:pt>
                <c:pt idx="3">
                  <c:v>-0.47201480904723603</c:v>
                </c:pt>
                <c:pt idx="4">
                  <c:v>-1.3770124644399484</c:v>
                </c:pt>
                <c:pt idx="5">
                  <c:v>-0.90323726248877367</c:v>
                </c:pt>
                <c:pt idx="6">
                  <c:v>-1.4510701575248088</c:v>
                </c:pt>
                <c:pt idx="7">
                  <c:v>-0.28421490502447533</c:v>
                </c:pt>
                <c:pt idx="8">
                  <c:v>-1.6714824972574043</c:v>
                </c:pt>
                <c:pt idx="9">
                  <c:v>-0.81879599037442219</c:v>
                </c:pt>
                <c:pt idx="10">
                  <c:v>-1.9244292911263097</c:v>
                </c:pt>
                <c:pt idx="11">
                  <c:v>-1.6589695359794563</c:v>
                </c:pt>
                <c:pt idx="12">
                  <c:v>-0.80701339902535185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FB9-488B-8634-F8AEDFBF1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1F-4D3E-B241-F223B325A808}"/>
              </c:ext>
            </c:extLst>
          </c:dPt>
          <c:val>
            <c:numRef>
              <c:f>'EM evol menusual lugar resd'!$I$185:$I$197</c:f>
              <c:numCache>
                <c:formatCode>0.00</c:formatCode>
                <c:ptCount val="13"/>
                <c:pt idx="0">
                  <c:v>8.3992114342040409</c:v>
                </c:pt>
                <c:pt idx="1">
                  <c:v>8.727555141348244</c:v>
                </c:pt>
                <c:pt idx="2">
                  <c:v>8.664422395464209</c:v>
                </c:pt>
                <c:pt idx="3">
                  <c:v>7.7432362122788758</c:v>
                </c:pt>
                <c:pt idx="4">
                  <c:v>8.3223995271867608</c:v>
                </c:pt>
                <c:pt idx="5">
                  <c:v>8.9193006052454606</c:v>
                </c:pt>
                <c:pt idx="6">
                  <c:v>8.3436408977556109</c:v>
                </c:pt>
                <c:pt idx="7">
                  <c:v>8.2916447714135568</c:v>
                </c:pt>
                <c:pt idx="8">
                  <c:v>8.9404954227248243</c:v>
                </c:pt>
                <c:pt idx="9">
                  <c:v>8.0896470588235285</c:v>
                </c:pt>
                <c:pt idx="10">
                  <c:v>8.4856290672451191</c:v>
                </c:pt>
                <c:pt idx="11">
                  <c:v>9.0498414136837333</c:v>
                </c:pt>
                <c:pt idx="12">
                  <c:v>8.485752438720775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1F-4D3E-B241-F223B325A808}"/>
            </c:ext>
          </c:extLst>
        </c:ser>
        <c:ser>
          <c:idx val="0"/>
          <c:order val="2"/>
          <c:tx>
            <c:strRef>
              <c:f>'EM evol menusual lugar resd'!$K$183:$L$183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71F-4D3E-B241-F223B325A80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resd'!$K$185:$K$197</c:f>
              <c:numCache>
                <c:formatCode>0.00</c:formatCode>
                <c:ptCount val="13"/>
                <c:pt idx="0">
                  <c:v>8.608603667136812</c:v>
                </c:pt>
                <c:pt idx="1">
                  <c:v>8.2370138345079607</c:v>
                </c:pt>
                <c:pt idx="2">
                  <c:v>7.8031830238726787</c:v>
                </c:pt>
                <c:pt idx="3">
                  <c:v>8.3330936975796792</c:v>
                </c:pt>
                <c:pt idx="4">
                  <c:v>7.6908373786407767</c:v>
                </c:pt>
                <c:pt idx="5">
                  <c:v>8.4891791044776124</c:v>
                </c:pt>
                <c:pt idx="6">
                  <c:v>7.6555997194295067</c:v>
                </c:pt>
                <c:pt idx="7">
                  <c:v>8.3114473308592629</c:v>
                </c:pt>
                <c:pt idx="8">
                  <c:v>8.7204788094467816</c:v>
                </c:pt>
                <c:pt idx="9">
                  <c:v>8.1410483666751077</c:v>
                </c:pt>
                <c:pt idx="10">
                  <c:v>8.5639518611810797</c:v>
                </c:pt>
                <c:pt idx="11">
                  <c:v>9.620396600566572</c:v>
                </c:pt>
                <c:pt idx="12">
                  <c:v>8.3521609571393363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1F-4D3E-B241-F223B325A808}"/>
            </c:ext>
          </c:extLst>
        </c:ser>
        <c:ser>
          <c:idx val="1"/>
          <c:order val="3"/>
          <c:tx>
            <c:strRef>
              <c:f>'EM evol menusual lugar resd'!$M$183:$N$183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71F-4D3E-B241-F223B325A808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71F-4D3E-B241-F223B325A808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resd'!$M$185:$M$197</c:f>
              <c:numCache>
                <c:formatCode>0.00</c:formatCode>
                <c:ptCount val="13"/>
                <c:pt idx="0">
                  <c:v>9.9277667329357193</c:v>
                </c:pt>
                <c:pt idx="1">
                  <c:v>8.4852703140174821</c:v>
                </c:pt>
                <c:pt idx="2">
                  <c:v>8.5837063563115485</c:v>
                </c:pt>
                <c:pt idx="3">
                  <c:v>7.3403496254013554</c:v>
                </c:pt>
                <c:pt idx="4">
                  <c:v>7.8070392096326025</c:v>
                </c:pt>
                <c:pt idx="5">
                  <c:v>8.6616828929068141</c:v>
                </c:pt>
                <c:pt idx="6">
                  <c:v>7.9297339188840095</c:v>
                </c:pt>
                <c:pt idx="7">
                  <c:v>7.2561847168774047</c:v>
                </c:pt>
                <c:pt idx="8">
                  <c:v>8.4611691612538831</c:v>
                </c:pt>
                <c:pt idx="9">
                  <c:v>7.9728633020542734</c:v>
                </c:pt>
                <c:pt idx="10">
                  <c:v>7.2119237267680427</c:v>
                </c:pt>
                <c:pt idx="11">
                  <c:v>9.4623334239869461</c:v>
                </c:pt>
                <c:pt idx="12">
                  <c:v>8.2272936949185453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71F-4D3E-B241-F223B325A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71F-4D3E-B241-F223B325A80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resd'!$C$185:$C$197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8.7057728119180631</c:v>
                      </c:pt>
                      <c:pt idx="1">
                        <c:v>8.6076173604960147</c:v>
                      </c:pt>
                      <c:pt idx="2">
                        <c:v>10.733630952380953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7.4293369055592766</c:v>
                      </c:pt>
                      <c:pt idx="8">
                        <c:v>7.8025247971145175</c:v>
                      </c:pt>
                      <c:pt idx="9">
                        <c:v>9.5790094339622645</c:v>
                      </c:pt>
                      <c:pt idx="10">
                        <c:v>7.1098398169336381</c:v>
                      </c:pt>
                      <c:pt idx="11">
                        <c:v>7.5361010830324906</c:v>
                      </c:pt>
                      <c:pt idx="12">
                        <c:v>8.4789494013132476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71F-4D3E-B241-F223B325A80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resd'!$N$184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71F-4D3E-B241-F223B325A808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71F-4D3E-B241-F223B325A808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71F-4D3E-B241-F223B325A808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71F-4D3E-B241-F223B325A808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71F-4D3E-B241-F223B325A808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71F-4D3E-B241-F223B325A808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71F-4D3E-B241-F223B325A808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71F-4D3E-B241-F223B325A808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71F-4D3E-B241-F223B325A808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71F-4D3E-B241-F223B325A808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71F-4D3E-B241-F223B325A808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71F-4D3E-B241-F223B325A808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71F-4D3E-B241-F223B325A808}"/>
              </c:ext>
            </c:extLst>
          </c:dPt>
          <c:cat>
            <c:strRef>
              <c:f>'EM evol menusual lugar resd'!$B$185:$B$196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resd'!$N$185:$N$197</c:f>
              <c:numCache>
                <c:formatCode>0.00</c:formatCode>
                <c:ptCount val="13"/>
                <c:pt idx="0">
                  <c:v>1.3191630657989073</c:v>
                </c:pt>
                <c:pt idx="1">
                  <c:v>0.24825647950952145</c:v>
                </c:pt>
                <c:pt idx="2">
                  <c:v>0.78052333243886984</c:v>
                </c:pt>
                <c:pt idx="3">
                  <c:v>-0.99274407217832383</c:v>
                </c:pt>
                <c:pt idx="4">
                  <c:v>0.11620183099182579</c:v>
                </c:pt>
                <c:pt idx="5">
                  <c:v>0.17250378842920178</c:v>
                </c:pt>
                <c:pt idx="6">
                  <c:v>0.27413419945450279</c:v>
                </c:pt>
                <c:pt idx="7">
                  <c:v>-1.0552626139818582</c:v>
                </c:pt>
                <c:pt idx="8">
                  <c:v>-0.25930964819289848</c:v>
                </c:pt>
                <c:pt idx="9">
                  <c:v>-0.16818506462083427</c:v>
                </c:pt>
                <c:pt idx="10">
                  <c:v>-1.3520281344130369</c:v>
                </c:pt>
                <c:pt idx="11">
                  <c:v>-0.15806317657962587</c:v>
                </c:pt>
                <c:pt idx="12">
                  <c:v>-0.12486726222079092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71F-4D3E-B241-F223B325A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resd'!$I$205:$J$205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BD8-4C03-8381-1F3587ED28FF}"/>
              </c:ext>
            </c:extLst>
          </c:dPt>
          <c:val>
            <c:numRef>
              <c:f>'EM evol menusual lugar resd'!$I$207:$I$219</c:f>
              <c:numCache>
                <c:formatCode>0.00</c:formatCode>
                <c:ptCount val="13"/>
                <c:pt idx="0">
                  <c:v>8.8914016489988228</c:v>
                </c:pt>
                <c:pt idx="1">
                  <c:v>8.468486462494452</c:v>
                </c:pt>
                <c:pt idx="2">
                  <c:v>9.3040983606557379</c:v>
                </c:pt>
                <c:pt idx="3">
                  <c:v>7.1687763713080166</c:v>
                </c:pt>
                <c:pt idx="4">
                  <c:v>10.775368362524326</c:v>
                </c:pt>
                <c:pt idx="5">
                  <c:v>9.573651191969887</c:v>
                </c:pt>
                <c:pt idx="6">
                  <c:v>10.033462867012091</c:v>
                </c:pt>
                <c:pt idx="7">
                  <c:v>9.6800704902274912</c:v>
                </c:pt>
                <c:pt idx="8">
                  <c:v>8.8518155053974485</c:v>
                </c:pt>
                <c:pt idx="9">
                  <c:v>9.1355339805825242</c:v>
                </c:pt>
                <c:pt idx="10">
                  <c:v>8.6134094151212555</c:v>
                </c:pt>
                <c:pt idx="11">
                  <c:v>8.475026567481402</c:v>
                </c:pt>
                <c:pt idx="12">
                  <c:v>9.0329163211594619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D8-4C03-8381-1F3587ED28FF}"/>
            </c:ext>
          </c:extLst>
        </c:ser>
        <c:ser>
          <c:idx val="0"/>
          <c:order val="2"/>
          <c:tx>
            <c:strRef>
              <c:f>'EM evol menusual lugar resd'!$K$205:$L$205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BD8-4C03-8381-1F3587ED28F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resd'!$K$207:$K$219</c:f>
              <c:numCache>
                <c:formatCode>0.00</c:formatCode>
                <c:ptCount val="13"/>
                <c:pt idx="0">
                  <c:v>9.5242515664887453</c:v>
                </c:pt>
                <c:pt idx="1">
                  <c:v>8.3471822295351714</c:v>
                </c:pt>
                <c:pt idx="2">
                  <c:v>8.9576891781936538</c:v>
                </c:pt>
                <c:pt idx="3">
                  <c:v>7.0147563486616331</c:v>
                </c:pt>
                <c:pt idx="4">
                  <c:v>8.4209884075655896</c:v>
                </c:pt>
                <c:pt idx="5">
                  <c:v>8.9339884101788858</c:v>
                </c:pt>
                <c:pt idx="6">
                  <c:v>8.0485402113559026</c:v>
                </c:pt>
                <c:pt idx="7">
                  <c:v>9.3494736842105262</c:v>
                </c:pt>
                <c:pt idx="8">
                  <c:v>9.4313593539703895</c:v>
                </c:pt>
                <c:pt idx="9">
                  <c:v>8.3060606060606066</c:v>
                </c:pt>
                <c:pt idx="10">
                  <c:v>9.2076281287246715</c:v>
                </c:pt>
                <c:pt idx="11">
                  <c:v>8.7723595505617986</c:v>
                </c:pt>
                <c:pt idx="12">
                  <c:v>8.6301944799474946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D8-4C03-8381-1F3587ED28FF}"/>
            </c:ext>
          </c:extLst>
        </c:ser>
        <c:ser>
          <c:idx val="1"/>
          <c:order val="3"/>
          <c:tx>
            <c:strRef>
              <c:f>'EM evol menusual lugar resd'!$M$205:$N$205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BD8-4C03-8381-1F3587ED28F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BD8-4C03-8381-1F3587ED28FF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resd'!$M$207:$M$219</c:f>
              <c:numCache>
                <c:formatCode>0.00</c:formatCode>
                <c:ptCount val="13"/>
                <c:pt idx="0">
                  <c:v>9.2827279853671278</c:v>
                </c:pt>
                <c:pt idx="1">
                  <c:v>8.2874139010644967</c:v>
                </c:pt>
                <c:pt idx="2">
                  <c:v>8.0678956834532372</c:v>
                </c:pt>
                <c:pt idx="3">
                  <c:v>7.6532114183764497</c:v>
                </c:pt>
                <c:pt idx="4">
                  <c:v>9.0248049052396873</c:v>
                </c:pt>
                <c:pt idx="5">
                  <c:v>8.8895168126589432</c:v>
                </c:pt>
                <c:pt idx="6">
                  <c:v>8.074995525326651</c:v>
                </c:pt>
                <c:pt idx="7">
                  <c:v>9.5100695715855004</c:v>
                </c:pt>
                <c:pt idx="8">
                  <c:v>9.6952509565608818</c:v>
                </c:pt>
                <c:pt idx="9">
                  <c:v>8.6769450684092302</c:v>
                </c:pt>
                <c:pt idx="10">
                  <c:v>8.1643744454303455</c:v>
                </c:pt>
                <c:pt idx="11">
                  <c:v>9.0736708860759485</c:v>
                </c:pt>
                <c:pt idx="12">
                  <c:v>8.679209326657201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BD8-4C03-8381-1F3587ED2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resd'!$C$205:$D$205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DBD8-4C03-8381-1F3587ED28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resd'!$C$207:$C$219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8.1642091152815013</c:v>
                      </c:pt>
                      <c:pt idx="1">
                        <c:v>8.5129340480074571</c:v>
                      </c:pt>
                      <c:pt idx="2">
                        <c:v>8.8708333333333336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9.4789297658862868</c:v>
                      </c:pt>
                      <c:pt idx="8">
                        <c:v>3.7468354430379747</c:v>
                      </c:pt>
                      <c:pt idx="9">
                        <c:v>3.6689419795221845</c:v>
                      </c:pt>
                      <c:pt idx="10">
                        <c:v>5.4763358778625957</c:v>
                      </c:pt>
                      <c:pt idx="11">
                        <c:v>7.5096322241681257</c:v>
                      </c:pt>
                      <c:pt idx="12">
                        <c:v>8.0653471771576903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DBD8-4C03-8381-1F3587ED28F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resd'!$N$206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BD8-4C03-8381-1F3587ED28F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BD8-4C03-8381-1F3587ED28F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BD8-4C03-8381-1F3587ED28F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BD8-4C03-8381-1F3587ED28F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DBD8-4C03-8381-1F3587ED28F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DBD8-4C03-8381-1F3587ED28F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DBD8-4C03-8381-1F3587ED28F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DBD8-4C03-8381-1F3587ED28F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BD8-4C03-8381-1F3587ED28F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DBD8-4C03-8381-1F3587ED28F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DBD8-4C03-8381-1F3587ED28F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DBD8-4C03-8381-1F3587ED28F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DBD8-4C03-8381-1F3587ED28FF}"/>
              </c:ext>
            </c:extLst>
          </c:dPt>
          <c:cat>
            <c:strRef>
              <c:f>'EM evol menusual lugar resd'!$B$207:$B$218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resd'!$N$207:$N$219</c:f>
              <c:numCache>
                <c:formatCode>0.00</c:formatCode>
                <c:ptCount val="13"/>
                <c:pt idx="0">
                  <c:v>-0.24152358112161743</c:v>
                </c:pt>
                <c:pt idx="1">
                  <c:v>-5.9768328470674703E-2</c:v>
                </c:pt>
                <c:pt idx="2">
                  <c:v>-0.88979349474041669</c:v>
                </c:pt>
                <c:pt idx="3">
                  <c:v>0.63845506971481658</c:v>
                </c:pt>
                <c:pt idx="4">
                  <c:v>0.60381649767409762</c:v>
                </c:pt>
                <c:pt idx="5">
                  <c:v>-4.4471597519942563E-2</c:v>
                </c:pt>
                <c:pt idx="6">
                  <c:v>2.6455313970748406E-2</c:v>
                </c:pt>
                <c:pt idx="7">
                  <c:v>0.16059588737497421</c:v>
                </c:pt>
                <c:pt idx="8">
                  <c:v>0.26389160259049227</c:v>
                </c:pt>
                <c:pt idx="9">
                  <c:v>0.3708844623486236</c:v>
                </c:pt>
                <c:pt idx="10">
                  <c:v>-1.043253683294326</c:v>
                </c:pt>
                <c:pt idx="11">
                  <c:v>0.3013113355141499</c:v>
                </c:pt>
                <c:pt idx="12">
                  <c:v>4.9014846709706461E-2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BD8-4C03-8381-1F3587ED2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TF'!$I$117:$J$117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B5-4A7F-8CCF-445BCF651BBC}"/>
              </c:ext>
            </c:extLst>
          </c:dPt>
          <c:val>
            <c:numRef>
              <c:f>'Viajeros entr evol mensu TF'!$I$119:$I$131</c:f>
              <c:numCache>
                <c:formatCode>#,##0</c:formatCode>
                <c:ptCount val="13"/>
                <c:pt idx="0">
                  <c:v>38867</c:v>
                </c:pt>
                <c:pt idx="1">
                  <c:v>40917</c:v>
                </c:pt>
                <c:pt idx="2">
                  <c:v>54879</c:v>
                </c:pt>
                <c:pt idx="3">
                  <c:v>48998</c:v>
                </c:pt>
                <c:pt idx="4">
                  <c:v>55242</c:v>
                </c:pt>
                <c:pt idx="5">
                  <c:v>60909</c:v>
                </c:pt>
                <c:pt idx="6">
                  <c:v>59283</c:v>
                </c:pt>
                <c:pt idx="7">
                  <c:v>55524</c:v>
                </c:pt>
                <c:pt idx="8">
                  <c:v>60872</c:v>
                </c:pt>
                <c:pt idx="9">
                  <c:v>59055</c:v>
                </c:pt>
                <c:pt idx="10">
                  <c:v>50763</c:v>
                </c:pt>
                <c:pt idx="11">
                  <c:v>49377</c:v>
                </c:pt>
                <c:pt idx="12">
                  <c:v>634686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B5-4A7F-8CCF-445BCF651BBC}"/>
            </c:ext>
          </c:extLst>
        </c:ser>
        <c:ser>
          <c:idx val="0"/>
          <c:order val="2"/>
          <c:tx>
            <c:strRef>
              <c:f>'Viajeros entr evol mensu TF'!$K$117:$L$117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0B5-4A7F-8CCF-445BCF651BB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TF'!$K$119:$K$131</c:f>
              <c:numCache>
                <c:formatCode>#,##0</c:formatCode>
                <c:ptCount val="13"/>
                <c:pt idx="0">
                  <c:v>41827</c:v>
                </c:pt>
                <c:pt idx="1">
                  <c:v>46040</c:v>
                </c:pt>
                <c:pt idx="2">
                  <c:v>55580</c:v>
                </c:pt>
                <c:pt idx="3">
                  <c:v>57738</c:v>
                </c:pt>
                <c:pt idx="4">
                  <c:v>61775</c:v>
                </c:pt>
                <c:pt idx="5">
                  <c:v>66223</c:v>
                </c:pt>
                <c:pt idx="6">
                  <c:v>64142</c:v>
                </c:pt>
                <c:pt idx="7">
                  <c:v>62872</c:v>
                </c:pt>
                <c:pt idx="8">
                  <c:v>62946</c:v>
                </c:pt>
                <c:pt idx="9">
                  <c:v>62174</c:v>
                </c:pt>
                <c:pt idx="10">
                  <c:v>52169</c:v>
                </c:pt>
                <c:pt idx="11">
                  <c:v>50165</c:v>
                </c:pt>
                <c:pt idx="12">
                  <c:v>683651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B5-4A7F-8CCF-445BCF651BBC}"/>
            </c:ext>
          </c:extLst>
        </c:ser>
        <c:ser>
          <c:idx val="1"/>
          <c:order val="3"/>
          <c:tx>
            <c:strRef>
              <c:f>'Viajeros entr evol mensu TF'!$M$117:$N$117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B5-4A7F-8CCF-445BCF651BB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0B5-4A7F-8CCF-445BCF651BBC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TF'!$M$119:$M$131</c:f>
              <c:numCache>
                <c:formatCode>#,##0</c:formatCode>
                <c:ptCount val="13"/>
                <c:pt idx="0">
                  <c:v>45798</c:v>
                </c:pt>
                <c:pt idx="1">
                  <c:v>47035</c:v>
                </c:pt>
                <c:pt idx="2">
                  <c:v>57360</c:v>
                </c:pt>
                <c:pt idx="3">
                  <c:v>52845</c:v>
                </c:pt>
                <c:pt idx="4">
                  <c:v>66971</c:v>
                </c:pt>
                <c:pt idx="5">
                  <c:v>66524</c:v>
                </c:pt>
                <c:pt idx="6">
                  <c:v>65396</c:v>
                </c:pt>
                <c:pt idx="7">
                  <c:v>61698</c:v>
                </c:pt>
                <c:pt idx="8">
                  <c:v>61772</c:v>
                </c:pt>
                <c:pt idx="9">
                  <c:v>65216</c:v>
                </c:pt>
                <c:pt idx="10">
                  <c:v>49890</c:v>
                </c:pt>
                <c:pt idx="11">
                  <c:v>46754</c:v>
                </c:pt>
                <c:pt idx="12">
                  <c:v>687259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0B5-4A7F-8CCF-445BCF651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TF'!$C$117:$D$117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0B5-4A7F-8CCF-445BCF651BB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TF'!$C$119:$C$131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42402</c:v>
                      </c:pt>
                      <c:pt idx="1">
                        <c:v>44676</c:v>
                      </c:pt>
                      <c:pt idx="2">
                        <c:v>19712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5479</c:v>
                      </c:pt>
                      <c:pt idx="8">
                        <c:v>4395</c:v>
                      </c:pt>
                      <c:pt idx="9">
                        <c:v>6516</c:v>
                      </c:pt>
                      <c:pt idx="10">
                        <c:v>7647</c:v>
                      </c:pt>
                      <c:pt idx="11">
                        <c:v>8000</c:v>
                      </c:pt>
                      <c:pt idx="12">
                        <c:v>146501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0B5-4A7F-8CCF-445BCF651BB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TF'!$N$118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0B5-4A7F-8CCF-445BCF651BB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0B5-4A7F-8CCF-445BCF651BB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0B5-4A7F-8CCF-445BCF651BB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0B5-4A7F-8CCF-445BCF651BB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0B5-4A7F-8CCF-445BCF651BB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0B5-4A7F-8CCF-445BCF651BB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0B5-4A7F-8CCF-445BCF651BB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0B5-4A7F-8CCF-445BCF651BB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0B5-4A7F-8CCF-445BCF651BB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0B5-4A7F-8CCF-445BCF651BB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0B5-4A7F-8CCF-445BCF651BB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0B5-4A7F-8CCF-445BCF651BB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0B5-4A7F-8CCF-445BCF651BBC}"/>
              </c:ext>
            </c:extLst>
          </c:dPt>
          <c:cat>
            <c:strRef>
              <c:f>'Viajeros entr evol mensu TF'!$B$119:$B$130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TF'!$N$119:$N$131</c:f>
              <c:numCache>
                <c:formatCode>0.0%</c:formatCode>
                <c:ptCount val="13"/>
                <c:pt idx="0">
                  <c:v>9.493867597484873E-2</c:v>
                </c:pt>
                <c:pt idx="1">
                  <c:v>2.16116420503909E-2</c:v>
                </c:pt>
                <c:pt idx="2">
                  <c:v>3.2025908600215924E-2</c:v>
                </c:pt>
                <c:pt idx="3">
                  <c:v>-8.4744882053413684E-2</c:v>
                </c:pt>
                <c:pt idx="4">
                  <c:v>8.4111695669769393E-2</c:v>
                </c:pt>
                <c:pt idx="5">
                  <c:v>4.5452486296302386E-3</c:v>
                </c:pt>
                <c:pt idx="6">
                  <c:v>1.9550372610769751E-2</c:v>
                </c:pt>
                <c:pt idx="7">
                  <c:v>-1.8672859142384479E-2</c:v>
                </c:pt>
                <c:pt idx="8">
                  <c:v>-1.8650907126743554E-2</c:v>
                </c:pt>
                <c:pt idx="9">
                  <c:v>4.8927204297616322E-2</c:v>
                </c:pt>
                <c:pt idx="10">
                  <c:v>-4.36849469991758E-2</c:v>
                </c:pt>
                <c:pt idx="11">
                  <c:v>-6.7995614472241561E-2</c:v>
                </c:pt>
                <c:pt idx="12">
                  <c:v>5.2775465844414615E-3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0B5-4A7F-8CCF-445BCF651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resd'!$I$227:$J$227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BBC-4F5A-92E3-915B933855E9}"/>
              </c:ext>
            </c:extLst>
          </c:dPt>
          <c:val>
            <c:numRef>
              <c:f>'EM evol menusual lugar resd'!$I$229:$I$241</c:f>
              <c:numCache>
                <c:formatCode>0.00</c:formatCode>
                <c:ptCount val="13"/>
                <c:pt idx="0">
                  <c:v>8.3992114342040409</c:v>
                </c:pt>
                <c:pt idx="1">
                  <c:v>8.727555141348244</c:v>
                </c:pt>
                <c:pt idx="2">
                  <c:v>8.664422395464209</c:v>
                </c:pt>
                <c:pt idx="3">
                  <c:v>7.7432362122788758</c:v>
                </c:pt>
                <c:pt idx="4">
                  <c:v>8.3223995271867608</c:v>
                </c:pt>
                <c:pt idx="5">
                  <c:v>8.9193006052454606</c:v>
                </c:pt>
                <c:pt idx="6">
                  <c:v>8.3436408977556109</c:v>
                </c:pt>
                <c:pt idx="7">
                  <c:v>8.2916447714135568</c:v>
                </c:pt>
                <c:pt idx="8">
                  <c:v>8.9404954227248243</c:v>
                </c:pt>
                <c:pt idx="9">
                  <c:v>8.0896470588235285</c:v>
                </c:pt>
                <c:pt idx="10">
                  <c:v>8.4856290672451191</c:v>
                </c:pt>
                <c:pt idx="11">
                  <c:v>9.0498414136837333</c:v>
                </c:pt>
                <c:pt idx="12">
                  <c:v>8.485752438720775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BC-4F5A-92E3-915B933855E9}"/>
            </c:ext>
          </c:extLst>
        </c:ser>
        <c:ser>
          <c:idx val="0"/>
          <c:order val="2"/>
          <c:tx>
            <c:strRef>
              <c:f>'EM evol menusual lugar resd'!$K$227:$L$227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0BBC-4F5A-92E3-915B933855E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resd'!$K$229:$K$241</c:f>
              <c:numCache>
                <c:formatCode>0.00</c:formatCode>
                <c:ptCount val="13"/>
                <c:pt idx="0">
                  <c:v>8.608603667136812</c:v>
                </c:pt>
                <c:pt idx="1">
                  <c:v>8.2370138345079607</c:v>
                </c:pt>
                <c:pt idx="2">
                  <c:v>7.8031830238726787</c:v>
                </c:pt>
                <c:pt idx="3">
                  <c:v>8.3330936975796792</c:v>
                </c:pt>
                <c:pt idx="4">
                  <c:v>7.6908373786407767</c:v>
                </c:pt>
                <c:pt idx="5">
                  <c:v>8.4891791044776124</c:v>
                </c:pt>
                <c:pt idx="6">
                  <c:v>7.6555997194295067</c:v>
                </c:pt>
                <c:pt idx="7">
                  <c:v>8.3114473308592629</c:v>
                </c:pt>
                <c:pt idx="8">
                  <c:v>8.7204788094467816</c:v>
                </c:pt>
                <c:pt idx="9">
                  <c:v>8.1410483666751077</c:v>
                </c:pt>
                <c:pt idx="10">
                  <c:v>8.5639518611810797</c:v>
                </c:pt>
                <c:pt idx="11">
                  <c:v>9.620396600566572</c:v>
                </c:pt>
                <c:pt idx="12">
                  <c:v>8.3521609571393363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BBC-4F5A-92E3-915B933855E9}"/>
            </c:ext>
          </c:extLst>
        </c:ser>
        <c:ser>
          <c:idx val="1"/>
          <c:order val="3"/>
          <c:tx>
            <c:strRef>
              <c:f>'EM evol menusual lugar resd'!$M$227:$N$227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BBC-4F5A-92E3-915B933855E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BBC-4F5A-92E3-915B933855E9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resd'!$M$229:$M$241</c:f>
              <c:numCache>
                <c:formatCode>0.00</c:formatCode>
                <c:ptCount val="13"/>
                <c:pt idx="0">
                  <c:v>9.9277667329357193</c:v>
                </c:pt>
                <c:pt idx="1">
                  <c:v>8.4852703140174821</c:v>
                </c:pt>
                <c:pt idx="2">
                  <c:v>8.5837063563115485</c:v>
                </c:pt>
                <c:pt idx="3">
                  <c:v>7.3403496254013554</c:v>
                </c:pt>
                <c:pt idx="4">
                  <c:v>7.8070392096326025</c:v>
                </c:pt>
                <c:pt idx="5">
                  <c:v>8.6616828929068141</c:v>
                </c:pt>
                <c:pt idx="6">
                  <c:v>7.9297339188840095</c:v>
                </c:pt>
                <c:pt idx="7">
                  <c:v>7.2561847168774047</c:v>
                </c:pt>
                <c:pt idx="8">
                  <c:v>8.4611691612538831</c:v>
                </c:pt>
                <c:pt idx="9">
                  <c:v>7.9728633020542734</c:v>
                </c:pt>
                <c:pt idx="10">
                  <c:v>7.2119237267680427</c:v>
                </c:pt>
                <c:pt idx="11">
                  <c:v>9.4623334239869461</c:v>
                </c:pt>
                <c:pt idx="12">
                  <c:v>8.2272936949185453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BBC-4F5A-92E3-915B93385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resd'!$C$227:$D$227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0BBC-4F5A-92E3-915B933855E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resd'!$C$229:$C$241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8.7057728119180631</c:v>
                      </c:pt>
                      <c:pt idx="1">
                        <c:v>8.6076173604960147</c:v>
                      </c:pt>
                      <c:pt idx="2">
                        <c:v>10.733630952380953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7.4293369055592766</c:v>
                      </c:pt>
                      <c:pt idx="8">
                        <c:v>7.8025247971145175</c:v>
                      </c:pt>
                      <c:pt idx="9">
                        <c:v>9.5790094339622645</c:v>
                      </c:pt>
                      <c:pt idx="10">
                        <c:v>7.1098398169336381</c:v>
                      </c:pt>
                      <c:pt idx="11">
                        <c:v>7.5361010830324906</c:v>
                      </c:pt>
                      <c:pt idx="12">
                        <c:v>8.4789494013132476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0BBC-4F5A-92E3-915B933855E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resd'!$N$228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0BBC-4F5A-92E3-915B933855E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0BBC-4F5A-92E3-915B933855E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0BBC-4F5A-92E3-915B933855E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0BBC-4F5A-92E3-915B933855E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0BBC-4F5A-92E3-915B933855E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0BBC-4F5A-92E3-915B933855E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0BBC-4F5A-92E3-915B933855E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BBC-4F5A-92E3-915B933855E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BBC-4F5A-92E3-915B933855E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BBC-4F5A-92E3-915B933855E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BBC-4F5A-92E3-915B933855E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BBC-4F5A-92E3-915B933855E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BBC-4F5A-92E3-915B933855E9}"/>
              </c:ext>
            </c:extLst>
          </c:dPt>
          <c:cat>
            <c:strRef>
              <c:f>'EM evol menusual lugar resd'!$B$229:$B$240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resd'!$N$229:$N$241</c:f>
              <c:numCache>
                <c:formatCode>0.00</c:formatCode>
                <c:ptCount val="13"/>
                <c:pt idx="0">
                  <c:v>1.3191630657989073</c:v>
                </c:pt>
                <c:pt idx="1">
                  <c:v>0.24825647950952145</c:v>
                </c:pt>
                <c:pt idx="2">
                  <c:v>0.78052333243886984</c:v>
                </c:pt>
                <c:pt idx="3">
                  <c:v>-0.99274407217832383</c:v>
                </c:pt>
                <c:pt idx="4">
                  <c:v>0.11620183099182579</c:v>
                </c:pt>
                <c:pt idx="5">
                  <c:v>0.17250378842920178</c:v>
                </c:pt>
                <c:pt idx="6">
                  <c:v>0.27413419945450279</c:v>
                </c:pt>
                <c:pt idx="7">
                  <c:v>-1.0552626139818582</c:v>
                </c:pt>
                <c:pt idx="8">
                  <c:v>-0.25930964819289848</c:v>
                </c:pt>
                <c:pt idx="9">
                  <c:v>-0.16818506462083427</c:v>
                </c:pt>
                <c:pt idx="10">
                  <c:v>-1.3520281344130369</c:v>
                </c:pt>
                <c:pt idx="11">
                  <c:v>-0.15806317657962587</c:v>
                </c:pt>
                <c:pt idx="12">
                  <c:v>-0.12486726222079092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BBC-4F5A-92E3-915B93385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resd'!$I$249:$J$249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9E-4E14-BD20-4A5268713040}"/>
              </c:ext>
            </c:extLst>
          </c:dPt>
          <c:val>
            <c:numRef>
              <c:f>'EM evol menusual lugar resd'!$I$251:$I$263</c:f>
              <c:numCache>
                <c:formatCode>0.00</c:formatCode>
                <c:ptCount val="13"/>
                <c:pt idx="0">
                  <c:v>7.381966351209253</c:v>
                </c:pt>
                <c:pt idx="1">
                  <c:v>8.1284599006387506</c:v>
                </c:pt>
                <c:pt idx="2">
                  <c:v>9.2266817410966642</c:v>
                </c:pt>
                <c:pt idx="3">
                  <c:v>8.1741071428571423</c:v>
                </c:pt>
                <c:pt idx="4">
                  <c:v>9.6876876876876885</c:v>
                </c:pt>
                <c:pt idx="5">
                  <c:v>8.2967863894139882</c:v>
                </c:pt>
                <c:pt idx="6">
                  <c:v>7.9551020408163264</c:v>
                </c:pt>
                <c:pt idx="7">
                  <c:v>7.965608465608466</c:v>
                </c:pt>
                <c:pt idx="8">
                  <c:v>8.3199052132701414</c:v>
                </c:pt>
                <c:pt idx="9">
                  <c:v>6.281114848630466</c:v>
                </c:pt>
                <c:pt idx="10">
                  <c:v>8.4503028143925896</c:v>
                </c:pt>
                <c:pt idx="11">
                  <c:v>7.6238277179576244</c:v>
                </c:pt>
                <c:pt idx="12">
                  <c:v>8.0130190605854317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9E-4E14-BD20-4A5268713040}"/>
            </c:ext>
          </c:extLst>
        </c:ser>
        <c:ser>
          <c:idx val="0"/>
          <c:order val="2"/>
          <c:tx>
            <c:strRef>
              <c:f>'EM evol menusual lugar resd'!$K$249:$L$249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39E-4E14-BD20-4A526871304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resd'!$K$251:$K$263</c:f>
              <c:numCache>
                <c:formatCode>0.00</c:formatCode>
                <c:ptCount val="13"/>
                <c:pt idx="0">
                  <c:v>8.3423835381537579</c:v>
                </c:pt>
                <c:pt idx="1">
                  <c:v>8.6390164820318827</c:v>
                </c:pt>
                <c:pt idx="2">
                  <c:v>8.3439211391018624</c:v>
                </c:pt>
                <c:pt idx="3">
                  <c:v>10.570491803278689</c:v>
                </c:pt>
                <c:pt idx="4">
                  <c:v>8.620754716981132</c:v>
                </c:pt>
                <c:pt idx="5">
                  <c:v>10.466307277628033</c:v>
                </c:pt>
                <c:pt idx="6">
                  <c:v>7.2018779342723001</c:v>
                </c:pt>
                <c:pt idx="7">
                  <c:v>10.337874659400544</c:v>
                </c:pt>
                <c:pt idx="8">
                  <c:v>9.5922551252847388</c:v>
                </c:pt>
                <c:pt idx="9">
                  <c:v>7.0145454545454546</c:v>
                </c:pt>
                <c:pt idx="10">
                  <c:v>7.8947197926789761</c:v>
                </c:pt>
                <c:pt idx="11">
                  <c:v>8.3462793733681462</c:v>
                </c:pt>
                <c:pt idx="12">
                  <c:v>8.4210810567532288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9E-4E14-BD20-4A5268713040}"/>
            </c:ext>
          </c:extLst>
        </c:ser>
        <c:ser>
          <c:idx val="1"/>
          <c:order val="3"/>
          <c:tx>
            <c:strRef>
              <c:f>'EM evol menusual lugar resd'!$M$249:$N$249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9E-4E14-BD20-4A5268713040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9E-4E14-BD20-4A5268713040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resd'!$M$251:$M$263</c:f>
              <c:numCache>
                <c:formatCode>0.00</c:formatCode>
                <c:ptCount val="13"/>
                <c:pt idx="0">
                  <c:v>10.138941398865784</c:v>
                </c:pt>
                <c:pt idx="1">
                  <c:v>8.4842164599774517</c:v>
                </c:pt>
                <c:pt idx="2">
                  <c:v>8.2804525124967121</c:v>
                </c:pt>
                <c:pt idx="3">
                  <c:v>9.0453244274809155</c:v>
                </c:pt>
                <c:pt idx="4">
                  <c:v>9.6891566265060245</c:v>
                </c:pt>
                <c:pt idx="5">
                  <c:v>8.6520547945205486</c:v>
                </c:pt>
                <c:pt idx="6">
                  <c:v>7.5850556438791736</c:v>
                </c:pt>
                <c:pt idx="7">
                  <c:v>8.4961240310077528</c:v>
                </c:pt>
                <c:pt idx="8">
                  <c:v>7.0707070707070709</c:v>
                </c:pt>
                <c:pt idx="9">
                  <c:v>7.2699708454810494</c:v>
                </c:pt>
                <c:pt idx="10">
                  <c:v>7.0670840787119857</c:v>
                </c:pt>
                <c:pt idx="11">
                  <c:v>8.3597122302158269</c:v>
                </c:pt>
                <c:pt idx="12">
                  <c:v>8.3866820870957692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39E-4E14-BD20-4A5268713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resd'!$C$249:$D$249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39E-4E14-BD20-4A5268713040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resd'!$C$251:$C$263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8.9706999457406411</c:v>
                      </c:pt>
                      <c:pt idx="1">
                        <c:v>8.0938388625592417</c:v>
                      </c:pt>
                      <c:pt idx="2">
                        <c:v>11.017251635930993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10.888888888888889</c:v>
                      </c:pt>
                      <c:pt idx="8">
                        <c:v>2.75</c:v>
                      </c:pt>
                      <c:pt idx="9">
                        <c:v>4.2352941176470589</c:v>
                      </c:pt>
                      <c:pt idx="10">
                        <c:v>5.9189189189189193</c:v>
                      </c:pt>
                      <c:pt idx="11">
                        <c:v>7.8205128205128203</c:v>
                      </c:pt>
                      <c:pt idx="12">
                        <c:v>8.8963076923076922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39E-4E14-BD20-4A5268713040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resd'!$N$250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39E-4E14-BD20-4A5268713040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39E-4E14-BD20-4A5268713040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39E-4E14-BD20-4A5268713040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39E-4E14-BD20-4A5268713040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39E-4E14-BD20-4A5268713040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39E-4E14-BD20-4A5268713040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39E-4E14-BD20-4A5268713040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39E-4E14-BD20-4A5268713040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39E-4E14-BD20-4A5268713040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39E-4E14-BD20-4A5268713040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39E-4E14-BD20-4A5268713040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39E-4E14-BD20-4A5268713040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39E-4E14-BD20-4A5268713040}"/>
              </c:ext>
            </c:extLst>
          </c:dPt>
          <c:cat>
            <c:strRef>
              <c:f>'EM evol menusual lugar resd'!$B$251:$B$262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resd'!$N$251:$N$263</c:f>
              <c:numCache>
                <c:formatCode>0.00</c:formatCode>
                <c:ptCount val="13"/>
                <c:pt idx="0">
                  <c:v>1.7965578607120261</c:v>
                </c:pt>
                <c:pt idx="1">
                  <c:v>-0.154800022054431</c:v>
                </c:pt>
                <c:pt idx="2">
                  <c:v>-6.3468626605150291E-2</c:v>
                </c:pt>
                <c:pt idx="3">
                  <c:v>-1.5251673757977731</c:v>
                </c:pt>
                <c:pt idx="4">
                  <c:v>1.0684019095248924</c:v>
                </c:pt>
                <c:pt idx="5">
                  <c:v>-1.8142524831074844</c:v>
                </c:pt>
                <c:pt idx="6">
                  <c:v>0.38317770960687358</c:v>
                </c:pt>
                <c:pt idx="7">
                  <c:v>-1.8417506283927914</c:v>
                </c:pt>
                <c:pt idx="8">
                  <c:v>-2.5215480545776678</c:v>
                </c:pt>
                <c:pt idx="9">
                  <c:v>0.2554253909355948</c:v>
                </c:pt>
                <c:pt idx="10">
                  <c:v>-0.82763571396699032</c:v>
                </c:pt>
                <c:pt idx="11">
                  <c:v>1.3432856847680696E-2</c:v>
                </c:pt>
                <c:pt idx="12">
                  <c:v>-3.4398969657459588E-2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39E-4E14-BD20-4A5268713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menusual lugar resd'!$I$271:$J$271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BE-4D28-8260-C61785FD84DD}"/>
              </c:ext>
            </c:extLst>
          </c:dPt>
          <c:val>
            <c:numRef>
              <c:f>'EM evol menusual lugar resd'!$I$273:$I$285</c:f>
              <c:numCache>
                <c:formatCode>0.00</c:formatCode>
                <c:ptCount val="13"/>
                <c:pt idx="0">
                  <c:v>8.2004524886877821</c:v>
                </c:pt>
                <c:pt idx="1">
                  <c:v>8.7536041939711673</c:v>
                </c:pt>
                <c:pt idx="2">
                  <c:v>9.4451237263464343</c:v>
                </c:pt>
                <c:pt idx="3">
                  <c:v>8.0933140933140937</c:v>
                </c:pt>
                <c:pt idx="4">
                  <c:v>9.7523364485981308</c:v>
                </c:pt>
                <c:pt idx="5">
                  <c:v>8.7606177606177607</c:v>
                </c:pt>
                <c:pt idx="6">
                  <c:v>12.705627705627705</c:v>
                </c:pt>
                <c:pt idx="7">
                  <c:v>8.8852459016393439</c:v>
                </c:pt>
                <c:pt idx="8">
                  <c:v>7.7277936962750715</c:v>
                </c:pt>
                <c:pt idx="9">
                  <c:v>5.4709576138147566</c:v>
                </c:pt>
                <c:pt idx="10">
                  <c:v>9.4742484269401075</c:v>
                </c:pt>
                <c:pt idx="11">
                  <c:v>8.3665938864628817</c:v>
                </c:pt>
                <c:pt idx="12">
                  <c:v>8.4642237804418308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BE-4D28-8260-C61785FD84DD}"/>
            </c:ext>
          </c:extLst>
        </c:ser>
        <c:ser>
          <c:idx val="0"/>
          <c:order val="2"/>
          <c:tx>
            <c:strRef>
              <c:f>'EM evol menusual lugar resd'!$K$271:$L$271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1BE-4D28-8260-C61785FD84D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resd'!$K$273:$K$285</c:f>
              <c:numCache>
                <c:formatCode>0.00</c:formatCode>
                <c:ptCount val="13"/>
                <c:pt idx="0">
                  <c:v>8.8776695003110095</c:v>
                </c:pt>
                <c:pt idx="1">
                  <c:v>9.0517909002904169</c:v>
                </c:pt>
                <c:pt idx="2">
                  <c:v>8.5975887170154692</c:v>
                </c:pt>
                <c:pt idx="3">
                  <c:v>13.656119900083263</c:v>
                </c:pt>
                <c:pt idx="4">
                  <c:v>9.2666666666666675</c:v>
                </c:pt>
                <c:pt idx="5">
                  <c:v>8.6916666666666664</c:v>
                </c:pt>
                <c:pt idx="6">
                  <c:v>6.8508771929824563</c:v>
                </c:pt>
                <c:pt idx="7">
                  <c:v>7.3269230769230766</c:v>
                </c:pt>
                <c:pt idx="8">
                  <c:v>7.740384615384615</c:v>
                </c:pt>
                <c:pt idx="9">
                  <c:v>5.8508442776735459</c:v>
                </c:pt>
                <c:pt idx="10">
                  <c:v>9.4645808736717836</c:v>
                </c:pt>
                <c:pt idx="11">
                  <c:v>8.2607965451055669</c:v>
                </c:pt>
                <c:pt idx="12">
                  <c:v>8.7879118657772395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BE-4D28-8260-C61785FD84DD}"/>
            </c:ext>
          </c:extLst>
        </c:ser>
        <c:ser>
          <c:idx val="1"/>
          <c:order val="3"/>
          <c:tx>
            <c:strRef>
              <c:f>'EM evol menusual lugar resd'!$M$271:$N$271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1BE-4D28-8260-C61785FD84DD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BE-4D28-8260-C61785FD84DD}"/>
              </c:ext>
            </c:extLst>
          </c:dPt>
          <c:cat>
            <c:strRef>
              <c:f>'EM evol menusual lugar resd'!$A$9:$A$21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menusual lugar resd'!$M$273:$M$285</c:f>
              <c:numCache>
                <c:formatCode>0.00</c:formatCode>
                <c:ptCount val="13"/>
                <c:pt idx="0">
                  <c:v>11.700116346713205</c:v>
                </c:pt>
                <c:pt idx="1">
                  <c:v>9.5968225419664268</c:v>
                </c:pt>
                <c:pt idx="2">
                  <c:v>9.0525980235894163</c:v>
                </c:pt>
                <c:pt idx="3">
                  <c:v>10.770879526977089</c:v>
                </c:pt>
                <c:pt idx="4">
                  <c:v>7.0697674418604652</c:v>
                </c:pt>
                <c:pt idx="5">
                  <c:v>7.4573643410852712</c:v>
                </c:pt>
                <c:pt idx="6">
                  <c:v>8.5943396226415096</c:v>
                </c:pt>
                <c:pt idx="7">
                  <c:v>6.5681818181818183</c:v>
                </c:pt>
                <c:pt idx="8">
                  <c:v>6.833333333333333</c:v>
                </c:pt>
                <c:pt idx="9">
                  <c:v>6.5883977900552484</c:v>
                </c:pt>
                <c:pt idx="10">
                  <c:v>8.2555418719211815</c:v>
                </c:pt>
                <c:pt idx="11">
                  <c:v>8.7709198813056375</c:v>
                </c:pt>
                <c:pt idx="12">
                  <c:v>9.2594144321766567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1BE-4D28-8260-C61785FD8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menusual lugar resd'!$C$271:$D$271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1BE-4D28-8260-C61785FD84D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menusual lugar resd'!$A$9:$A$21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menusual lugar resd'!$C$273:$C$285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9.6649278919914092</c:v>
                      </c:pt>
                      <c:pt idx="1">
                        <c:v>8.2841480127912295</c:v>
                      </c:pt>
                      <c:pt idx="2">
                        <c:v>9.3773006134969332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5.5</c:v>
                      </c:pt>
                      <c:pt idx="8">
                        <c:v>7.4074074074074074</c:v>
                      </c:pt>
                      <c:pt idx="9">
                        <c:v>5.7944444444444443</c:v>
                      </c:pt>
                      <c:pt idx="10">
                        <c:v>9.0055970149253728</c:v>
                      </c:pt>
                      <c:pt idx="11">
                        <c:v>9.6896551724137936</c:v>
                      </c:pt>
                      <c:pt idx="12">
                        <c:v>8.9643305251837244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1BE-4D28-8260-C61785FD84D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menusual lugar resd'!$N$272</c:f>
              <c:strCache>
                <c:ptCount val="1"/>
                <c:pt idx="0">
                  <c:v>dif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1BE-4D28-8260-C61785FD84DD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1BE-4D28-8260-C61785FD84DD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1BE-4D28-8260-C61785FD84DD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1BE-4D28-8260-C61785FD84DD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1BE-4D28-8260-C61785FD84DD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1BE-4D28-8260-C61785FD84DD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1BE-4D28-8260-C61785FD84DD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1BE-4D28-8260-C61785FD84DD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1BE-4D28-8260-C61785FD84DD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1BE-4D28-8260-C61785FD84DD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1BE-4D28-8260-C61785FD84DD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1BE-4D28-8260-C61785FD84DD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1BE-4D28-8260-C61785FD84DD}"/>
              </c:ext>
            </c:extLst>
          </c:dPt>
          <c:cat>
            <c:strRef>
              <c:f>'EM evol menusual lugar resd'!$B$273:$B$284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menusual lugar resd'!$N$273:$N$285</c:f>
              <c:numCache>
                <c:formatCode>0.00</c:formatCode>
                <c:ptCount val="13"/>
                <c:pt idx="0">
                  <c:v>2.8224468464021957</c:v>
                </c:pt>
                <c:pt idx="1">
                  <c:v>0.54503164167600993</c:v>
                </c:pt>
                <c:pt idx="2">
                  <c:v>0.45500930657394711</c:v>
                </c:pt>
                <c:pt idx="3">
                  <c:v>-2.8852403731061749</c:v>
                </c:pt>
                <c:pt idx="4">
                  <c:v>-2.1968992248062023</c:v>
                </c:pt>
                <c:pt idx="5">
                  <c:v>-1.2343023255813952</c:v>
                </c:pt>
                <c:pt idx="6">
                  <c:v>1.7434624296590533</c:v>
                </c:pt>
                <c:pt idx="7">
                  <c:v>-0.75874125874125831</c:v>
                </c:pt>
                <c:pt idx="8">
                  <c:v>-0.90705128205128194</c:v>
                </c:pt>
                <c:pt idx="9">
                  <c:v>0.73755351238170253</c:v>
                </c:pt>
                <c:pt idx="10">
                  <c:v>-1.2090390017506021</c:v>
                </c:pt>
                <c:pt idx="11">
                  <c:v>0.51012333620007055</c:v>
                </c:pt>
                <c:pt idx="12">
                  <c:v>0.47150256639941723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1BE-4D28-8260-C61785FD8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2A-4CF7-AE05-CD9972B47CBF}"/>
              </c:ext>
            </c:extLst>
          </c:dPt>
          <c:val>
            <c:numRef>
              <c:f>'EM evol mensu TF cat '!$I$9:$I$21</c:f>
              <c:numCache>
                <c:formatCode>0.00</c:formatCode>
                <c:ptCount val="13"/>
                <c:pt idx="0">
                  <c:v>7.9384785610073729</c:v>
                </c:pt>
                <c:pt idx="1">
                  <c:v>7.573860021727854</c:v>
                </c:pt>
                <c:pt idx="2">
                  <c:v>7.1611875782049825</c:v>
                </c:pt>
                <c:pt idx="3">
                  <c:v>6.6071071115401994</c:v>
                </c:pt>
                <c:pt idx="4">
                  <c:v>6.9440868449374946</c:v>
                </c:pt>
                <c:pt idx="5">
                  <c:v>6.9046855643809666</c:v>
                </c:pt>
                <c:pt idx="6">
                  <c:v>7.7040926272653412</c:v>
                </c:pt>
                <c:pt idx="7">
                  <c:v>8.1097716550938816</c:v>
                </c:pt>
                <c:pt idx="8">
                  <c:v>7.4536678097510061</c:v>
                </c:pt>
                <c:pt idx="9">
                  <c:v>7.2239690096301068</c:v>
                </c:pt>
                <c:pt idx="10">
                  <c:v>7.4367055851367114</c:v>
                </c:pt>
                <c:pt idx="11">
                  <c:v>7.4519302269326904</c:v>
                </c:pt>
                <c:pt idx="12">
                  <c:v>7.3769342975031353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2A-4CF7-AE05-CD9972B47CBF}"/>
            </c:ext>
          </c:extLst>
        </c:ser>
        <c:ser>
          <c:idx val="0"/>
          <c:order val="2"/>
          <c:tx>
            <c:strRef>
              <c:f>'EM evol mensu TF cat 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2A-4CF7-AE05-CD9972B47CB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'!$K$9:$K$21</c:f>
              <c:numCache>
                <c:formatCode>0.00</c:formatCode>
                <c:ptCount val="13"/>
                <c:pt idx="0">
                  <c:v>8.1765736833344764</c:v>
                </c:pt>
                <c:pt idx="1">
                  <c:v>7.3477985852502536</c:v>
                </c:pt>
                <c:pt idx="2">
                  <c:v>7.0496921187274779</c:v>
                </c:pt>
                <c:pt idx="3">
                  <c:v>6.9559722393475543</c:v>
                </c:pt>
                <c:pt idx="4">
                  <c:v>6.7511616134222852</c:v>
                </c:pt>
                <c:pt idx="5">
                  <c:v>6.9467325160948938</c:v>
                </c:pt>
                <c:pt idx="6">
                  <c:v>7.3925116386568499</c:v>
                </c:pt>
                <c:pt idx="7">
                  <c:v>7.4201266434724724</c:v>
                </c:pt>
                <c:pt idx="8">
                  <c:v>7.2665766981556459</c:v>
                </c:pt>
                <c:pt idx="9">
                  <c:v>6.9581148065238247</c:v>
                </c:pt>
                <c:pt idx="10">
                  <c:v>7.1759629902735345</c:v>
                </c:pt>
                <c:pt idx="11">
                  <c:v>7.2321784322217413</c:v>
                </c:pt>
                <c:pt idx="12">
                  <c:v>7.2151283150609418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2A-4CF7-AE05-CD9972B47CBF}"/>
            </c:ext>
          </c:extLst>
        </c:ser>
        <c:ser>
          <c:idx val="1"/>
          <c:order val="3"/>
          <c:tx>
            <c:strRef>
              <c:f>'EM evol mensu TF cat 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2A-4CF7-AE05-CD9972B47CBF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2A-4CF7-AE05-CD9972B47CBF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'!$M$9:$M$21</c:f>
              <c:numCache>
                <c:formatCode>0.00</c:formatCode>
                <c:ptCount val="13"/>
                <c:pt idx="0">
                  <c:v>8.0574486474558196</c:v>
                </c:pt>
                <c:pt idx="1">
                  <c:v>7.0598509811422456</c:v>
                </c:pt>
                <c:pt idx="2">
                  <c:v>6.7263591941427618</c:v>
                </c:pt>
                <c:pt idx="3">
                  <c:v>6.5324405509050463</c:v>
                </c:pt>
                <c:pt idx="4">
                  <c:v>6.3569210711406177</c:v>
                </c:pt>
                <c:pt idx="5">
                  <c:v>6.9037161585469944</c:v>
                </c:pt>
                <c:pt idx="6">
                  <c:v>7.3919088355262117</c:v>
                </c:pt>
                <c:pt idx="7">
                  <c:v>7.3521215652005045</c:v>
                </c:pt>
                <c:pt idx="8">
                  <c:v>7.0362903573801896</c:v>
                </c:pt>
                <c:pt idx="9">
                  <c:v>6.896675995859372</c:v>
                </c:pt>
                <c:pt idx="10">
                  <c:v>6.8719741841987751</c:v>
                </c:pt>
                <c:pt idx="11">
                  <c:v>7.2433035311117129</c:v>
                </c:pt>
                <c:pt idx="12">
                  <c:v>7.0304533997772856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92A-4CF7-AE05-CD9972B47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192A-4CF7-AE05-CD9972B47CBF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'!$C$9:$C$21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8.698648398805064</c:v>
                      </c:pt>
                      <c:pt idx="1">
                        <c:v>7.9022125154306337</c:v>
                      </c:pt>
                      <c:pt idx="2">
                        <c:v>9.2650728155339799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6.2072200759666263</c:v>
                      </c:pt>
                      <c:pt idx="8">
                        <c:v>5.8190319031903188</c:v>
                      </c:pt>
                      <c:pt idx="9">
                        <c:v>4.6894435729445423</c:v>
                      </c:pt>
                      <c:pt idx="10">
                        <c:v>6.71445023639229</c:v>
                      </c:pt>
                      <c:pt idx="11">
                        <c:v>6.7961834693642951</c:v>
                      </c:pt>
                      <c:pt idx="12">
                        <c:v>7.6155004062928775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192A-4CF7-AE05-CD9972B47CBF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'!$N$8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192A-4CF7-AE05-CD9972B47CBF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192A-4CF7-AE05-CD9972B47CBF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192A-4CF7-AE05-CD9972B47CBF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92A-4CF7-AE05-CD9972B47CBF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92A-4CF7-AE05-CD9972B47CBF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92A-4CF7-AE05-CD9972B47CBF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92A-4CF7-AE05-CD9972B47CBF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192A-4CF7-AE05-CD9972B47CBF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92A-4CF7-AE05-CD9972B47CBF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192A-4CF7-AE05-CD9972B47CBF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192A-4CF7-AE05-CD9972B47CBF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192A-4CF7-AE05-CD9972B47CBF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192A-4CF7-AE05-CD9972B47CBF}"/>
              </c:ext>
            </c:extLst>
          </c:dPt>
          <c:cat>
            <c:strRef>
              <c:f>'EM evol mensu TF cat 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'!$N$9:$N$21</c:f>
              <c:numCache>
                <c:formatCode>0.00</c:formatCode>
                <c:ptCount val="13"/>
                <c:pt idx="0">
                  <c:v>-0.11912503587865686</c:v>
                </c:pt>
                <c:pt idx="1">
                  <c:v>-0.28794760410800802</c:v>
                </c:pt>
                <c:pt idx="2">
                  <c:v>-0.32333292458471607</c:v>
                </c:pt>
                <c:pt idx="3">
                  <c:v>-0.42353168844250799</c:v>
                </c:pt>
                <c:pt idx="4">
                  <c:v>-0.39424054228166749</c:v>
                </c:pt>
                <c:pt idx="5">
                  <c:v>-4.3016357547899453E-2</c:v>
                </c:pt>
                <c:pt idx="6">
                  <c:v>-6.0280313063820756E-4</c:v>
                </c:pt>
                <c:pt idx="7">
                  <c:v>-6.8005078271967889E-2</c:v>
                </c:pt>
                <c:pt idx="8">
                  <c:v>-0.23028634077545629</c:v>
                </c:pt>
                <c:pt idx="9">
                  <c:v>-6.1438810664452781E-2</c:v>
                </c:pt>
                <c:pt idx="10">
                  <c:v>-0.30398880607475931</c:v>
                </c:pt>
                <c:pt idx="11">
                  <c:v>1.1125098889971596E-2</c:v>
                </c:pt>
                <c:pt idx="12">
                  <c:v>-0.1846749152836562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92A-4CF7-AE05-CD9972B47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0624332445310046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8C-4F02-9D4B-DE73A640995B}"/>
              </c:ext>
            </c:extLst>
          </c:dPt>
          <c:val>
            <c:numRef>
              <c:f>'EM evol mensu TF cat '!$I$31:$I$43</c:f>
              <c:numCache>
                <c:formatCode>0.00</c:formatCode>
                <c:ptCount val="13"/>
                <c:pt idx="0">
                  <c:v>7.715962775118105</c:v>
                </c:pt>
                <c:pt idx="1">
                  <c:v>7.1782292003884756</c:v>
                </c:pt>
                <c:pt idx="2">
                  <c:v>6.9371056170476884</c:v>
                </c:pt>
                <c:pt idx="3">
                  <c:v>6.4716835546238061</c:v>
                </c:pt>
                <c:pt idx="4">
                  <c:v>6.7713763585649707</c:v>
                </c:pt>
                <c:pt idx="5">
                  <c:v>6.750382689078128</c:v>
                </c:pt>
                <c:pt idx="6">
                  <c:v>7.2361967528426767</c:v>
                </c:pt>
                <c:pt idx="7">
                  <c:v>8.1764714322610264</c:v>
                </c:pt>
                <c:pt idx="8">
                  <c:v>7.3095018450184499</c:v>
                </c:pt>
                <c:pt idx="9">
                  <c:v>6.8764488218969362</c:v>
                </c:pt>
                <c:pt idx="10">
                  <c:v>6.9762890371997406</c:v>
                </c:pt>
                <c:pt idx="11">
                  <c:v>7.0943493808552764</c:v>
                </c:pt>
                <c:pt idx="12">
                  <c:v>7.1231158536510168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8C-4F02-9D4B-DE73A640995B}"/>
            </c:ext>
          </c:extLst>
        </c:ser>
        <c:ser>
          <c:idx val="0"/>
          <c:order val="2"/>
          <c:tx>
            <c:strRef>
              <c:f>'EM evol mensu TF cat 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88C-4F02-9D4B-DE73A640995B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'!$K$31:$K$43</c:f>
              <c:numCache>
                <c:formatCode>0.00</c:formatCode>
                <c:ptCount val="13"/>
                <c:pt idx="0">
                  <c:v>7.4547813613139278</c:v>
                </c:pt>
                <c:pt idx="1">
                  <c:v>6.8396673707221245</c:v>
                </c:pt>
                <c:pt idx="2">
                  <c:v>6.5262970766394526</c:v>
                </c:pt>
                <c:pt idx="3">
                  <c:v>6.6061483034580517</c:v>
                </c:pt>
                <c:pt idx="4">
                  <c:v>6.3668200745123826</c:v>
                </c:pt>
                <c:pt idx="5">
                  <c:v>6.5637853697068866</c:v>
                </c:pt>
                <c:pt idx="6">
                  <c:v>6.9525761047463179</c:v>
                </c:pt>
                <c:pt idx="7">
                  <c:v>7.0446740210440497</c:v>
                </c:pt>
                <c:pt idx="8">
                  <c:v>6.9818143754361479</c:v>
                </c:pt>
                <c:pt idx="9">
                  <c:v>6.604651745030294</c:v>
                </c:pt>
                <c:pt idx="10">
                  <c:v>6.8853814462281573</c:v>
                </c:pt>
                <c:pt idx="11">
                  <c:v>6.7976407417196434</c:v>
                </c:pt>
                <c:pt idx="12">
                  <c:v>6.7966611681152118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8C-4F02-9D4B-DE73A640995B}"/>
            </c:ext>
          </c:extLst>
        </c:ser>
        <c:ser>
          <c:idx val="1"/>
          <c:order val="3"/>
          <c:tx>
            <c:strRef>
              <c:f>'EM evol mensu TF cat 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8C-4F02-9D4B-DE73A640995B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8C-4F02-9D4B-DE73A640995B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'!$M$31:$M$43</c:f>
              <c:numCache>
                <c:formatCode>0.00</c:formatCode>
                <c:ptCount val="13"/>
                <c:pt idx="0">
                  <c:v>7.4272287630616889</c:v>
                </c:pt>
                <c:pt idx="1">
                  <c:v>6.5099681895464272</c:v>
                </c:pt>
                <c:pt idx="2">
                  <c:v>6.4003403274646944</c:v>
                </c:pt>
                <c:pt idx="3">
                  <c:v>6.246210180524999</c:v>
                </c:pt>
                <c:pt idx="4">
                  <c:v>6.1565574912891989</c:v>
                </c:pt>
                <c:pt idx="5">
                  <c:v>6.6634788959473052</c:v>
                </c:pt>
                <c:pt idx="6">
                  <c:v>7.0224923541481168</c:v>
                </c:pt>
                <c:pt idx="7">
                  <c:v>7.0773696391399348</c:v>
                </c:pt>
                <c:pt idx="8">
                  <c:v>6.8082126551076998</c:v>
                </c:pt>
                <c:pt idx="9">
                  <c:v>6.6750599813935265</c:v>
                </c:pt>
                <c:pt idx="10">
                  <c:v>6.5581833738870019</c:v>
                </c:pt>
                <c:pt idx="11">
                  <c:v>6.9856440570618572</c:v>
                </c:pt>
                <c:pt idx="12">
                  <c:v>6.7122576465583217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88C-4F02-9D4B-DE73A6409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888C-4F02-9D4B-DE73A640995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'!$C$31:$C$43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8.2833862223985193</c:v>
                      </c:pt>
                      <c:pt idx="1">
                        <c:v>7.4081368395811689</c:v>
                      </c:pt>
                      <c:pt idx="2">
                        <c:v>8.9463966399135035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6.7699033918623508</c:v>
                      </c:pt>
                      <c:pt idx="8">
                        <c:v>6.8947068867387591</c:v>
                      </c:pt>
                      <c:pt idx="9">
                        <c:v>5.2761385833247658</c:v>
                      </c:pt>
                      <c:pt idx="10">
                        <c:v>6.9719288865124982</c:v>
                      </c:pt>
                      <c:pt idx="11">
                        <c:v>6.8524370973623432</c:v>
                      </c:pt>
                      <c:pt idx="12">
                        <c:v>7.5481653488721587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888C-4F02-9D4B-DE73A640995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'!$N$30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88C-4F02-9D4B-DE73A640995B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888C-4F02-9D4B-DE73A640995B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88C-4F02-9D4B-DE73A640995B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88C-4F02-9D4B-DE73A640995B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888C-4F02-9D4B-DE73A640995B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88C-4F02-9D4B-DE73A640995B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88C-4F02-9D4B-DE73A640995B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88C-4F02-9D4B-DE73A640995B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888C-4F02-9D4B-DE73A640995B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88C-4F02-9D4B-DE73A640995B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888C-4F02-9D4B-DE73A640995B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888C-4F02-9D4B-DE73A640995B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888C-4F02-9D4B-DE73A640995B}"/>
              </c:ext>
            </c:extLst>
          </c:dPt>
          <c:cat>
            <c:strRef>
              <c:f>'EM evol mensu TF cat 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'!$N$31:$N$43</c:f>
              <c:numCache>
                <c:formatCode>0.00</c:formatCode>
                <c:ptCount val="13"/>
                <c:pt idx="0">
                  <c:v>-2.755259825223888E-2</c:v>
                </c:pt>
                <c:pt idx="1">
                  <c:v>-0.3296991811756973</c:v>
                </c:pt>
                <c:pt idx="2">
                  <c:v>-0.12595674917475819</c:v>
                </c:pt>
                <c:pt idx="3">
                  <c:v>-0.35993812293305272</c:v>
                </c:pt>
                <c:pt idx="4">
                  <c:v>-0.2102625832231837</c:v>
                </c:pt>
                <c:pt idx="5">
                  <c:v>9.9693526240418606E-2</c:v>
                </c:pt>
                <c:pt idx="6">
                  <c:v>6.9916249401798858E-2</c:v>
                </c:pt>
                <c:pt idx="7">
                  <c:v>3.269561809588506E-2</c:v>
                </c:pt>
                <c:pt idx="8">
                  <c:v>-0.17360172032844812</c:v>
                </c:pt>
                <c:pt idx="9">
                  <c:v>7.0408236363232568E-2</c:v>
                </c:pt>
                <c:pt idx="10">
                  <c:v>-0.32719807234115539</c:v>
                </c:pt>
                <c:pt idx="11">
                  <c:v>0.18800331534221382</c:v>
                </c:pt>
                <c:pt idx="12">
                  <c:v>-8.4403521556890126E-2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88C-4F02-9D4B-DE73A6409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1187294267900032"/>
          <c:w val="0.86939722222222227"/>
          <c:h val="0.42070463713947498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76-4AF5-9240-C7C3FB06E71C}"/>
              </c:ext>
            </c:extLst>
          </c:dPt>
          <c:val>
            <c:numRef>
              <c:f>'EM evol mensu TF cat '!$I$53:$I$65</c:f>
              <c:numCache>
                <c:formatCode>0.00</c:formatCode>
                <c:ptCount val="13"/>
                <c:pt idx="0">
                  <c:v>7.6864420808674421</c:v>
                </c:pt>
                <c:pt idx="1">
                  <c:v>7.2669387042573153</c:v>
                </c:pt>
                <c:pt idx="2">
                  <c:v>7.1145171570139185</c:v>
                </c:pt>
                <c:pt idx="3">
                  <c:v>6.5643387815750369</c:v>
                </c:pt>
                <c:pt idx="4">
                  <c:v>7.0119574389265056</c:v>
                </c:pt>
                <c:pt idx="5">
                  <c:v>6.9984387351778654</c:v>
                </c:pt>
                <c:pt idx="6">
                  <c:v>7.3690432348825219</c:v>
                </c:pt>
                <c:pt idx="7">
                  <c:v>7.5015812776723596</c:v>
                </c:pt>
                <c:pt idx="8">
                  <c:v>7.4710882038315667</c:v>
                </c:pt>
                <c:pt idx="9">
                  <c:v>7.0528984464902189</c:v>
                </c:pt>
                <c:pt idx="10">
                  <c:v>7.2696190820964564</c:v>
                </c:pt>
                <c:pt idx="11">
                  <c:v>7.1138220941854309</c:v>
                </c:pt>
                <c:pt idx="12">
                  <c:v>7.2027648107247506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76-4AF5-9240-C7C3FB06E71C}"/>
            </c:ext>
          </c:extLst>
        </c:ser>
        <c:ser>
          <c:idx val="0"/>
          <c:order val="2"/>
          <c:tx>
            <c:strRef>
              <c:f>'EM evol mensu TF cat 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876-4AF5-9240-C7C3FB06E71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'!$K$53:$K$65</c:f>
              <c:numCache>
                <c:formatCode>0.00</c:formatCode>
                <c:ptCount val="13"/>
                <c:pt idx="0">
                  <c:v>7.4857211519205347</c:v>
                </c:pt>
                <c:pt idx="1">
                  <c:v>7.0000197816110141</c:v>
                </c:pt>
                <c:pt idx="2">
                  <c:v>6.7351235230934483</c:v>
                </c:pt>
                <c:pt idx="3">
                  <c:v>6.8152374160575269</c:v>
                </c:pt>
                <c:pt idx="4">
                  <c:v>6.5789624370132849</c:v>
                </c:pt>
                <c:pt idx="5">
                  <c:v>6.7373756549472246</c:v>
                </c:pt>
                <c:pt idx="6">
                  <c:v>7.1010293757221383</c:v>
                </c:pt>
                <c:pt idx="7">
                  <c:v>7.1414037629065676</c:v>
                </c:pt>
                <c:pt idx="8">
                  <c:v>7.140487299118714</c:v>
                </c:pt>
                <c:pt idx="9">
                  <c:v>6.7202831579982298</c:v>
                </c:pt>
                <c:pt idx="10">
                  <c:v>6.7793509562135421</c:v>
                </c:pt>
                <c:pt idx="11">
                  <c:v>6.8815392072784221</c:v>
                </c:pt>
                <c:pt idx="12">
                  <c:v>6.924168578421888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76-4AF5-9240-C7C3FB06E71C}"/>
            </c:ext>
          </c:extLst>
        </c:ser>
        <c:ser>
          <c:idx val="1"/>
          <c:order val="3"/>
          <c:tx>
            <c:strRef>
              <c:f>'EM evol mensu TF cat 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876-4AF5-9240-C7C3FB06E71C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7876-4AF5-9240-C7C3FB06E71C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'!$M$53:$M$65</c:f>
              <c:numCache>
                <c:formatCode>0.00</c:formatCode>
                <c:ptCount val="13"/>
                <c:pt idx="0">
                  <c:v>7.5633170957121125</c:v>
                </c:pt>
                <c:pt idx="1">
                  <c:v>6.5213538483661067</c:v>
                </c:pt>
                <c:pt idx="2">
                  <c:v>6.4809595099203277</c:v>
                </c:pt>
                <c:pt idx="3">
                  <c:v>6.3203728879394054</c:v>
                </c:pt>
                <c:pt idx="4">
                  <c:v>6.2955156950672642</c:v>
                </c:pt>
                <c:pt idx="5">
                  <c:v>6.8076715946006985</c:v>
                </c:pt>
                <c:pt idx="6">
                  <c:v>7.1746265755111303</c:v>
                </c:pt>
                <c:pt idx="7">
                  <c:v>7.215893175451999</c:v>
                </c:pt>
                <c:pt idx="8">
                  <c:v>6.9508024063264253</c:v>
                </c:pt>
                <c:pt idx="9">
                  <c:v>6.7801792142145976</c:v>
                </c:pt>
                <c:pt idx="10">
                  <c:v>6.777261575403247</c:v>
                </c:pt>
                <c:pt idx="11">
                  <c:v>7.1914625253739581</c:v>
                </c:pt>
                <c:pt idx="12">
                  <c:v>6.839405292148558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76-4AF5-9240-C7C3FB06E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7876-4AF5-9240-C7C3FB06E71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'!$C$53:$C$65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8.2814146646423143</c:v>
                      </c:pt>
                      <c:pt idx="1">
                        <c:v>7.3425917851225257</c:v>
                      </c:pt>
                      <c:pt idx="2">
                        <c:v>9.0908874896043717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6.91712158808933</c:v>
                      </c:pt>
                      <c:pt idx="8">
                        <c:v>7.3037426538818435</c:v>
                      </c:pt>
                      <c:pt idx="9">
                        <c:v>5.2754170217947154</c:v>
                      </c:pt>
                      <c:pt idx="10">
                        <c:v>6.8962561231630515</c:v>
                      </c:pt>
                      <c:pt idx="11">
                        <c:v>6.5346969696969701</c:v>
                      </c:pt>
                      <c:pt idx="12">
                        <c:v>7.5327249759858939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7876-4AF5-9240-C7C3FB06E71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'!$N$52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876-4AF5-9240-C7C3FB06E71C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876-4AF5-9240-C7C3FB06E71C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876-4AF5-9240-C7C3FB06E71C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876-4AF5-9240-C7C3FB06E71C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876-4AF5-9240-C7C3FB06E71C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876-4AF5-9240-C7C3FB06E71C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876-4AF5-9240-C7C3FB06E71C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876-4AF5-9240-C7C3FB06E71C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876-4AF5-9240-C7C3FB06E71C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876-4AF5-9240-C7C3FB06E71C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876-4AF5-9240-C7C3FB06E71C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7876-4AF5-9240-C7C3FB06E71C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7876-4AF5-9240-C7C3FB06E71C}"/>
              </c:ext>
            </c:extLst>
          </c:dPt>
          <c:cat>
            <c:strRef>
              <c:f>'EM evol mensu TF cat 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'!$N$53:$N$65</c:f>
              <c:numCache>
                <c:formatCode>0.00</c:formatCode>
                <c:ptCount val="13"/>
                <c:pt idx="0">
                  <c:v>7.7595943791577859E-2</c:v>
                </c:pt>
                <c:pt idx="1">
                  <c:v>-0.47866593324490747</c:v>
                </c:pt>
                <c:pt idx="2">
                  <c:v>-0.25416401317312065</c:v>
                </c:pt>
                <c:pt idx="3">
                  <c:v>-0.49486452811812143</c:v>
                </c:pt>
                <c:pt idx="4">
                  <c:v>-0.28344674194602071</c:v>
                </c:pt>
                <c:pt idx="5">
                  <c:v>7.0295939653473916E-2</c:v>
                </c:pt>
                <c:pt idx="6">
                  <c:v>7.3597199788991929E-2</c:v>
                </c:pt>
                <c:pt idx="7">
                  <c:v>7.4489412545431399E-2</c:v>
                </c:pt>
                <c:pt idx="8">
                  <c:v>-0.18968489279228873</c:v>
                </c:pt>
                <c:pt idx="9">
                  <c:v>5.9896056216367732E-2</c:v>
                </c:pt>
                <c:pt idx="10">
                  <c:v>-2.0893808102950828E-3</c:v>
                </c:pt>
                <c:pt idx="11">
                  <c:v>0.30992331809553608</c:v>
                </c:pt>
                <c:pt idx="12">
                  <c:v>-8.4763286273330074E-2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876-4AF5-9240-C7C3FB06E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DF-4DA9-86BE-2817F92CDCC9}"/>
              </c:ext>
            </c:extLst>
          </c:dPt>
          <c:val>
            <c:numRef>
              <c:f>'EM evol mensu TF cat '!$I$75:$I$87</c:f>
              <c:numCache>
                <c:formatCode>0.00</c:formatCode>
                <c:ptCount val="13"/>
                <c:pt idx="0">
                  <c:v>7.8112930170397599</c:v>
                </c:pt>
                <c:pt idx="1">
                  <c:v>6.9233999874631733</c:v>
                </c:pt>
                <c:pt idx="2">
                  <c:v>6.4836573830793487</c:v>
                </c:pt>
                <c:pt idx="3">
                  <c:v>6.2149014440235</c:v>
                </c:pt>
                <c:pt idx="4">
                  <c:v>5.9238744290582179</c:v>
                </c:pt>
                <c:pt idx="5">
                  <c:v>5.9982021933241443</c:v>
                </c:pt>
                <c:pt idx="6">
                  <c:v>6.7962804878048777</c:v>
                </c:pt>
                <c:pt idx="7">
                  <c:v>10.777282540566892</c:v>
                </c:pt>
                <c:pt idx="8">
                  <c:v>6.783448363198886</c:v>
                </c:pt>
                <c:pt idx="9">
                  <c:v>6.3279678068410465</c:v>
                </c:pt>
                <c:pt idx="10">
                  <c:v>6.2915492957746482</c:v>
                </c:pt>
                <c:pt idx="11">
                  <c:v>7.0346608998618372</c:v>
                </c:pt>
                <c:pt idx="12">
                  <c:v>6.8814815551752959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DF-4DA9-86BE-2817F92CDCC9}"/>
            </c:ext>
          </c:extLst>
        </c:ser>
        <c:ser>
          <c:idx val="0"/>
          <c:order val="2"/>
          <c:tx>
            <c:strRef>
              <c:f>'EM evol mensu TF cat 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ADF-4DA9-86BE-2817F92CDCC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'!$K$75:$K$87</c:f>
              <c:numCache>
                <c:formatCode>0.00</c:formatCode>
                <c:ptCount val="13"/>
                <c:pt idx="0">
                  <c:v>7.3271946486084731</c:v>
                </c:pt>
                <c:pt idx="1">
                  <c:v>6.3670339921870447</c:v>
                </c:pt>
                <c:pt idx="2">
                  <c:v>5.9453685258964146</c:v>
                </c:pt>
                <c:pt idx="3">
                  <c:v>5.9940852420991595</c:v>
                </c:pt>
                <c:pt idx="4">
                  <c:v>5.6744533732012705</c:v>
                </c:pt>
                <c:pt idx="5">
                  <c:v>6.0618618948292893</c:v>
                </c:pt>
                <c:pt idx="6">
                  <c:v>6.5121279800550562</c:v>
                </c:pt>
                <c:pt idx="7">
                  <c:v>6.7445251659436574</c:v>
                </c:pt>
                <c:pt idx="8">
                  <c:v>6.4959179045243225</c:v>
                </c:pt>
                <c:pt idx="9">
                  <c:v>6.2304592215505359</c:v>
                </c:pt>
                <c:pt idx="10">
                  <c:v>7.2395486496485386</c:v>
                </c:pt>
                <c:pt idx="11">
                  <c:v>6.551043892816045</c:v>
                </c:pt>
                <c:pt idx="12">
                  <c:v>6.4016317404438521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DF-4DA9-86BE-2817F92CDCC9}"/>
            </c:ext>
          </c:extLst>
        </c:ser>
        <c:ser>
          <c:idx val="1"/>
          <c:order val="3"/>
          <c:tx>
            <c:strRef>
              <c:f>'EM evol mensu TF cat 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DF-4DA9-86BE-2817F92CDCC9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ADF-4DA9-86BE-2817F92CDCC9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'!$M$75:$M$87</c:f>
              <c:numCache>
                <c:formatCode>0.00</c:formatCode>
                <c:ptCount val="13"/>
                <c:pt idx="0">
                  <c:v>7.0242859586112534</c:v>
                </c:pt>
                <c:pt idx="1">
                  <c:v>6.4733495201757432</c:v>
                </c:pt>
                <c:pt idx="2">
                  <c:v>6.1167604866533507</c:v>
                </c:pt>
                <c:pt idx="3">
                  <c:v>5.9894432490586338</c:v>
                </c:pt>
                <c:pt idx="4">
                  <c:v>5.5714596949891071</c:v>
                </c:pt>
                <c:pt idx="5">
                  <c:v>6.1103558576569368</c:v>
                </c:pt>
                <c:pt idx="6">
                  <c:v>6.4269042937781444</c:v>
                </c:pt>
                <c:pt idx="7">
                  <c:v>6.4775687409551379</c:v>
                </c:pt>
                <c:pt idx="8">
                  <c:v>6.288955340310733</c:v>
                </c:pt>
                <c:pt idx="9">
                  <c:v>6.256780642408728</c:v>
                </c:pt>
                <c:pt idx="10">
                  <c:v>5.8315345991804701</c:v>
                </c:pt>
                <c:pt idx="11">
                  <c:v>6.3150324279201184</c:v>
                </c:pt>
                <c:pt idx="12">
                  <c:v>6.2526003284625427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ADF-4DA9-86BE-2817F92CD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'!$C$73:$D$73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BADF-4DA9-86BE-2817F92CDCC9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'!$C$75:$C$87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8.2890048358360904</c:v>
                      </c:pt>
                      <c:pt idx="1">
                        <c:v>7.5883022712291002</c:v>
                      </c:pt>
                      <c:pt idx="2">
                        <c:v>8.6091778732843469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6.4086702386751098</c:v>
                      </c:pt>
                      <c:pt idx="8">
                        <c:v>5.754204398447607</c:v>
                      </c:pt>
                      <c:pt idx="9">
                        <c:v>5.2800528401585201</c:v>
                      </c:pt>
                      <c:pt idx="10">
                        <c:v>7.2169971671388105</c:v>
                      </c:pt>
                      <c:pt idx="11">
                        <c:v>8.1413644744929314</c:v>
                      </c:pt>
                      <c:pt idx="12">
                        <c:v>7.5913972552270428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BADF-4DA9-86BE-2817F92CDCC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'!$N$74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ADF-4DA9-86BE-2817F92CDCC9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ADF-4DA9-86BE-2817F92CDCC9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ADF-4DA9-86BE-2817F92CDCC9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ADF-4DA9-86BE-2817F92CDCC9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ADF-4DA9-86BE-2817F92CDCC9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ADF-4DA9-86BE-2817F92CDCC9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ADF-4DA9-86BE-2817F92CDCC9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ADF-4DA9-86BE-2817F92CDCC9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ADF-4DA9-86BE-2817F92CDCC9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ADF-4DA9-86BE-2817F92CDCC9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ADF-4DA9-86BE-2817F92CDCC9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BADF-4DA9-86BE-2817F92CDCC9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BADF-4DA9-86BE-2817F92CDCC9}"/>
              </c:ext>
            </c:extLst>
          </c:dPt>
          <c:cat>
            <c:strRef>
              <c:f>'EM evol mensu TF cat '!$B$75:$B$86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'!$N$75:$N$87</c:f>
              <c:numCache>
                <c:formatCode>0.00</c:formatCode>
                <c:ptCount val="13"/>
                <c:pt idx="0">
                  <c:v>-0.30290868999721976</c:v>
                </c:pt>
                <c:pt idx="1">
                  <c:v>0.10631552798869848</c:v>
                </c:pt>
                <c:pt idx="2">
                  <c:v>0.17139196075693608</c:v>
                </c:pt>
                <c:pt idx="3">
                  <c:v>-4.6419930405257048E-3</c:v>
                </c:pt>
                <c:pt idx="4">
                  <c:v>-0.10299367821216343</c:v>
                </c:pt>
                <c:pt idx="5">
                  <c:v>4.8493962827647508E-2</c:v>
                </c:pt>
                <c:pt idx="6">
                  <c:v>-8.5223686276911792E-2</c:v>
                </c:pt>
                <c:pt idx="7">
                  <c:v>-0.26695642498851946</c:v>
                </c:pt>
                <c:pt idx="8">
                  <c:v>-0.20696256421358949</c:v>
                </c:pt>
                <c:pt idx="9">
                  <c:v>2.6321420858192113E-2</c:v>
                </c:pt>
                <c:pt idx="10">
                  <c:v>-1.4080140504680685</c:v>
                </c:pt>
                <c:pt idx="11">
                  <c:v>-0.23601146489592661</c:v>
                </c:pt>
                <c:pt idx="12">
                  <c:v>-0.14903141198130943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ADF-4DA9-86BE-2817F92CD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'EM evol mensu TF cat 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4A5-4D12-B44F-23379206D303}"/>
              </c:ext>
            </c:extLst>
          </c:dPt>
          <c:val>
            <c:numRef>
              <c:f>'EM evol mensu TF cat '!$I$97:$I$109</c:f>
              <c:numCache>
                <c:formatCode>0.00</c:formatCode>
                <c:ptCount val="13"/>
                <c:pt idx="0">
                  <c:v>8.3011123699660114</c:v>
                </c:pt>
                <c:pt idx="1">
                  <c:v>8.1789666526378326</c:v>
                </c:pt>
                <c:pt idx="2">
                  <c:v>7.4864847470716951</c:v>
                </c:pt>
                <c:pt idx="3">
                  <c:v>6.817497116232782</c:v>
                </c:pt>
                <c:pt idx="4">
                  <c:v>7.2586569343065692</c:v>
                </c:pt>
                <c:pt idx="5">
                  <c:v>7.1489987528531422</c:v>
                </c:pt>
                <c:pt idx="6">
                  <c:v>8.4821730950141117</c:v>
                </c:pt>
                <c:pt idx="7">
                  <c:v>8.01108209668174</c:v>
                </c:pt>
                <c:pt idx="8">
                  <c:v>7.6952673050069818</c:v>
                </c:pt>
                <c:pt idx="9">
                  <c:v>7.779149370829983</c:v>
                </c:pt>
                <c:pt idx="10">
                  <c:v>8.1975707936803399</c:v>
                </c:pt>
                <c:pt idx="11">
                  <c:v>8.0025941517806345</c:v>
                </c:pt>
                <c:pt idx="12">
                  <c:v>7.7809349022994709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A5-4D12-B44F-23379206D303}"/>
            </c:ext>
          </c:extLst>
        </c:ser>
        <c:ser>
          <c:idx val="0"/>
          <c:order val="2"/>
          <c:tx>
            <c:strRef>
              <c:f>'EM evol mensu TF cat 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4A5-4D12-B44F-23379206D303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'!$K$97:$K$109</c:f>
              <c:numCache>
                <c:formatCode>0.00</c:formatCode>
                <c:ptCount val="13"/>
                <c:pt idx="0">
                  <c:v>9.2936143676727365</c:v>
                </c:pt>
                <c:pt idx="1">
                  <c:v>8.1201311092652038</c:v>
                </c:pt>
                <c:pt idx="2">
                  <c:v>7.895418856522757</c:v>
                </c:pt>
                <c:pt idx="3">
                  <c:v>7.473088004190676</c:v>
                </c:pt>
                <c:pt idx="4">
                  <c:v>7.3748725608744099</c:v>
                </c:pt>
                <c:pt idx="5">
                  <c:v>7.5855845256024095</c:v>
                </c:pt>
                <c:pt idx="6">
                  <c:v>8.1429656266053208</c:v>
                </c:pt>
                <c:pt idx="7">
                  <c:v>8.0382977830910889</c:v>
                </c:pt>
                <c:pt idx="8">
                  <c:v>7.7831139240506326</c:v>
                </c:pt>
                <c:pt idx="9">
                  <c:v>7.5828613151606339</c:v>
                </c:pt>
                <c:pt idx="10">
                  <c:v>7.6458898129853425</c:v>
                </c:pt>
                <c:pt idx="11">
                  <c:v>7.9492459197024994</c:v>
                </c:pt>
                <c:pt idx="12">
                  <c:v>7.8999954403483574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4A5-4D12-B44F-23379206D303}"/>
            </c:ext>
          </c:extLst>
        </c:ser>
        <c:ser>
          <c:idx val="1"/>
          <c:order val="3"/>
          <c:tx>
            <c:strRef>
              <c:f>'EM evol mensu TF cat 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4A5-4D12-B44F-23379206D303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4A5-4D12-B44F-23379206D303}"/>
              </c:ext>
            </c:extLst>
          </c:dPt>
          <c:cat>
            <c:strRef>
              <c:f>'EM evol mensu TF cat 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'EM evol mensu TF cat '!$M$97:$M$109</c:f>
              <c:numCache>
                <c:formatCode>0.00</c:formatCode>
                <c:ptCount val="13"/>
                <c:pt idx="0">
                  <c:v>9.1721741344195511</c:v>
                </c:pt>
                <c:pt idx="1">
                  <c:v>8.01273552403355</c:v>
                </c:pt>
                <c:pt idx="2">
                  <c:v>7.2273906597479618</c:v>
                </c:pt>
                <c:pt idx="3">
                  <c:v>6.9188518420570828</c:v>
                </c:pt>
                <c:pt idx="4">
                  <c:v>6.6775582121509505</c:v>
                </c:pt>
                <c:pt idx="5">
                  <c:v>7.2946518668012112</c:v>
                </c:pt>
                <c:pt idx="6">
                  <c:v>7.9819047422765399</c:v>
                </c:pt>
                <c:pt idx="7">
                  <c:v>7.8116336901286623</c:v>
                </c:pt>
                <c:pt idx="8">
                  <c:v>7.4025051159234527</c:v>
                </c:pt>
                <c:pt idx="9">
                  <c:v>7.2682511339613738</c:v>
                </c:pt>
                <c:pt idx="10">
                  <c:v>7.4067534006243019</c:v>
                </c:pt>
                <c:pt idx="11">
                  <c:v>7.627994416426513</c:v>
                </c:pt>
                <c:pt idx="12">
                  <c:v>7.5425546365335121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4A5-4D12-B44F-23379206D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'EM evol mensu TF cat '!$C$95:$D$95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54A5-4D12-B44F-23379206D303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'EM evol mensu TF cat 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 evol mensu TF cat '!$C$97:$C$109</c15:sqref>
                        </c15:formulaRef>
                      </c:ext>
                    </c:extLst>
                    <c:numCache>
                      <c:formatCode>0.00</c:formatCode>
                      <c:ptCount val="13"/>
                      <c:pt idx="0">
                        <c:v>9.2931405721316516</c:v>
                      </c:pt>
                      <c:pt idx="1">
                        <c:v>8.625096479943867</c:v>
                      </c:pt>
                      <c:pt idx="2">
                        <c:v>9.711828834606191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5.7271688124172782</c:v>
                      </c:pt>
                      <c:pt idx="8">
                        <c:v>4.8131985098456624</c:v>
                      </c:pt>
                      <c:pt idx="9">
                        <c:v>4.2117686448480791</c:v>
                      </c:pt>
                      <c:pt idx="10">
                        <c:v>6.5008317622269045</c:v>
                      </c:pt>
                      <c:pt idx="11">
                        <c:v>6.7457202049940026</c:v>
                      </c:pt>
                      <c:pt idx="12">
                        <c:v>7.6976565365005385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54A5-4D12-B44F-23379206D303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'EM evol mensu TF cat '!$N$96</c:f>
              <c:strCache>
                <c:ptCount val="1"/>
                <c:pt idx="0">
                  <c:v>def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54A5-4D12-B44F-23379206D303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4A5-4D12-B44F-23379206D303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54A5-4D12-B44F-23379206D303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54A5-4D12-B44F-23379206D303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54A5-4D12-B44F-23379206D303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54A5-4D12-B44F-23379206D303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54A5-4D12-B44F-23379206D303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54A5-4D12-B44F-23379206D303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54A5-4D12-B44F-23379206D303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54A5-4D12-B44F-23379206D303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54A5-4D12-B44F-23379206D303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54A5-4D12-B44F-23379206D303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54A5-4D12-B44F-23379206D303}"/>
              </c:ext>
            </c:extLst>
          </c:dPt>
          <c:cat>
            <c:strRef>
              <c:f>'EM evol mensu TF cat 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'EM evol mensu TF cat '!$N$97:$N$109</c:f>
              <c:numCache>
                <c:formatCode>0.00</c:formatCode>
                <c:ptCount val="13"/>
                <c:pt idx="0">
                  <c:v>-0.12144023325318543</c:v>
                </c:pt>
                <c:pt idx="1">
                  <c:v>-0.10739558523165371</c:v>
                </c:pt>
                <c:pt idx="2">
                  <c:v>-0.66802819677479519</c:v>
                </c:pt>
                <c:pt idx="3">
                  <c:v>-0.55423616213359317</c:v>
                </c:pt>
                <c:pt idx="4">
                  <c:v>-0.69731434872345943</c:v>
                </c:pt>
                <c:pt idx="5">
                  <c:v>-0.29093265880119823</c:v>
                </c:pt>
                <c:pt idx="6">
                  <c:v>-0.16106088432878085</c:v>
                </c:pt>
                <c:pt idx="7">
                  <c:v>-0.22666409296242662</c:v>
                </c:pt>
                <c:pt idx="8">
                  <c:v>-0.3806088081271799</c:v>
                </c:pt>
                <c:pt idx="9">
                  <c:v>-0.3146101811992601</c:v>
                </c:pt>
                <c:pt idx="10">
                  <c:v>-0.23913641236104066</c:v>
                </c:pt>
                <c:pt idx="11">
                  <c:v>-0.32125150327598639</c:v>
                </c:pt>
                <c:pt idx="12">
                  <c:v>-0.35744080381484533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4A5-4D12-B44F-23379206D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7750569674669167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mens'!$I$7:$J$7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B5-4BC9-BE19-D87FF8D8744E}"/>
              </c:ext>
            </c:extLst>
          </c:dPt>
          <c:val>
            <c:numRef>
              <c:f>'tasa de ocupación evol mens'!$I$9:$I$21</c:f>
              <c:numCache>
                <c:formatCode>0.0%</c:formatCode>
                <c:ptCount val="13"/>
                <c:pt idx="0">
                  <c:v>0.66949999999999998</c:v>
                </c:pt>
                <c:pt idx="1">
                  <c:v>0.74250000000000005</c:v>
                </c:pt>
                <c:pt idx="2">
                  <c:v>0.70920000000000005</c:v>
                </c:pt>
                <c:pt idx="3">
                  <c:v>0.66839999999999999</c:v>
                </c:pt>
                <c:pt idx="4">
                  <c:v>0.58719999999999994</c:v>
                </c:pt>
                <c:pt idx="5">
                  <c:v>0.68279999999999996</c:v>
                </c:pt>
                <c:pt idx="6">
                  <c:v>0.75840000000000007</c:v>
                </c:pt>
                <c:pt idx="7">
                  <c:v>0.82290000000000008</c:v>
                </c:pt>
                <c:pt idx="8">
                  <c:v>0.6966</c:v>
                </c:pt>
                <c:pt idx="9">
                  <c:v>0.74870000000000003</c:v>
                </c:pt>
                <c:pt idx="10">
                  <c:v>0.73970000000000002</c:v>
                </c:pt>
                <c:pt idx="11">
                  <c:v>0.72120000000000006</c:v>
                </c:pt>
                <c:pt idx="12">
                  <c:v>0.7120968992437916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B5-4BC9-BE19-D87FF8D8744E}"/>
            </c:ext>
          </c:extLst>
        </c:ser>
        <c:ser>
          <c:idx val="0"/>
          <c:order val="2"/>
          <c:tx>
            <c:strRef>
              <c:f>'tasa de ocupación evol mens'!$K$7:$L$7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7B5-4BC9-BE19-D87FF8D8744E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mens'!$K$9:$K$21</c:f>
              <c:numCache>
                <c:formatCode>0.0%</c:formatCode>
                <c:ptCount val="13"/>
                <c:pt idx="0">
                  <c:v>0.45750000000000002</c:v>
                </c:pt>
                <c:pt idx="1">
                  <c:v>0.74719999999999998</c:v>
                </c:pt>
                <c:pt idx="2">
                  <c:v>0.74159999999999993</c:v>
                </c:pt>
                <c:pt idx="3">
                  <c:v>0.69840000000000002</c:v>
                </c:pt>
                <c:pt idx="4">
                  <c:v>0.65599999999999992</c:v>
                </c:pt>
                <c:pt idx="5">
                  <c:v>0.7095999999999999</c:v>
                </c:pt>
                <c:pt idx="6">
                  <c:v>0.75879999999999992</c:v>
                </c:pt>
                <c:pt idx="7">
                  <c:v>0.79330000000000001</c:v>
                </c:pt>
                <c:pt idx="8">
                  <c:v>0.70640000000000003</c:v>
                </c:pt>
                <c:pt idx="9">
                  <c:v>0.73659999999999992</c:v>
                </c:pt>
                <c:pt idx="10">
                  <c:v>0.71489999999999998</c:v>
                </c:pt>
                <c:pt idx="11">
                  <c:v>0.70669999999999999</c:v>
                </c:pt>
                <c:pt idx="12">
                  <c:v>0.69114669074227841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B5-4BC9-BE19-D87FF8D8744E}"/>
            </c:ext>
          </c:extLst>
        </c:ser>
        <c:ser>
          <c:idx val="1"/>
          <c:order val="3"/>
          <c:tx>
            <c:strRef>
              <c:f>'tasa de ocupación evol mens'!$M$7:$N$7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7B5-4BC9-BE19-D87FF8D8744E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7B5-4BC9-BE19-D87FF8D8744E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mens'!$M$9:$M$21</c:f>
              <c:numCache>
                <c:formatCode>0.0%</c:formatCode>
                <c:ptCount val="13"/>
                <c:pt idx="0">
                  <c:v>0.73430000000000006</c:v>
                </c:pt>
                <c:pt idx="1">
                  <c:v>0.76090000000000002</c:v>
                </c:pt>
                <c:pt idx="2">
                  <c:v>0.72219999999999995</c:v>
                </c:pt>
                <c:pt idx="3">
                  <c:v>0.67959999999999998</c:v>
                </c:pt>
                <c:pt idx="4">
                  <c:v>0.64739999999999998</c:v>
                </c:pt>
                <c:pt idx="5">
                  <c:v>0.72840000000000005</c:v>
                </c:pt>
                <c:pt idx="6">
                  <c:v>0.81180000000000008</c:v>
                </c:pt>
                <c:pt idx="7">
                  <c:v>0.79189999999999994</c:v>
                </c:pt>
                <c:pt idx="8">
                  <c:v>0.73419999999999996</c:v>
                </c:pt>
                <c:pt idx="9">
                  <c:v>0.78379999999999994</c:v>
                </c:pt>
                <c:pt idx="10">
                  <c:v>0.73450000000000004</c:v>
                </c:pt>
                <c:pt idx="11">
                  <c:v>0.69900000000000007</c:v>
                </c:pt>
                <c:pt idx="12">
                  <c:v>0.73569515745498237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7B5-4BC9-BE19-D87FF8D87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mens'!$C$7:$D$7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27B5-4BC9-BE19-D87FF8D874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mens'!$C$9:$C$21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0.69230000000000003</c:v>
                      </c:pt>
                      <c:pt idx="1">
                        <c:v>0.68569999999999998</c:v>
                      </c:pt>
                      <c:pt idx="2">
                        <c:v>0.29420000000000002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0.32240000000000002</c:v>
                      </c:pt>
                      <c:pt idx="8">
                        <c:v>0.17910000000000001</c:v>
                      </c:pt>
                      <c:pt idx="9">
                        <c:v>0.16300000000000001</c:v>
                      </c:pt>
                      <c:pt idx="10">
                        <c:v>0.18329999999999999</c:v>
                      </c:pt>
                      <c:pt idx="11">
                        <c:v>0.18170000000000003</c:v>
                      </c:pt>
                      <c:pt idx="12">
                        <c:v>0.41641203353334449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27B5-4BC9-BE19-D87FF8D8744E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mens'!$N$8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7B5-4BC9-BE19-D87FF8D8744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7B5-4BC9-BE19-D87FF8D8744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7B5-4BC9-BE19-D87FF8D8744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7B5-4BC9-BE19-D87FF8D8744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27B5-4BC9-BE19-D87FF8D8744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7B5-4BC9-BE19-D87FF8D8744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7B5-4BC9-BE19-D87FF8D8744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27B5-4BC9-BE19-D87FF8D8744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27B5-4BC9-BE19-D87FF8D8744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27B5-4BC9-BE19-D87FF8D8744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27B5-4BC9-BE19-D87FF8D8744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27B5-4BC9-BE19-D87FF8D8744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27B5-4BC9-BE19-D87FF8D8744E}"/>
              </c:ext>
            </c:extLst>
          </c:dPt>
          <c:cat>
            <c:strRef>
              <c:f>'tasa de ocupación evol mens'!$B$9:$B$20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mens'!$N$9:$N$21</c:f>
              <c:numCache>
                <c:formatCode>0.0%</c:formatCode>
                <c:ptCount val="13"/>
                <c:pt idx="0">
                  <c:v>0.60502732240437163</c:v>
                </c:pt>
                <c:pt idx="1">
                  <c:v>1.8335117773019327E-2</c:v>
                </c:pt>
                <c:pt idx="2">
                  <c:v>-2.6159654800431476E-2</c:v>
                </c:pt>
                <c:pt idx="3">
                  <c:v>-2.6918671248568171E-2</c:v>
                </c:pt>
                <c:pt idx="4">
                  <c:v>-1.3109756097560932E-2</c:v>
                </c:pt>
                <c:pt idx="5">
                  <c:v>2.6493799323562772E-2</c:v>
                </c:pt>
                <c:pt idx="6">
                  <c:v>6.9847127042699242E-2</c:v>
                </c:pt>
                <c:pt idx="7">
                  <c:v>-1.7647800327745822E-3</c:v>
                </c:pt>
                <c:pt idx="8">
                  <c:v>3.9354473386183475E-2</c:v>
                </c:pt>
                <c:pt idx="9">
                  <c:v>6.407819712191154E-2</c:v>
                </c:pt>
                <c:pt idx="10">
                  <c:v>2.7416421877185737E-2</c:v>
                </c:pt>
                <c:pt idx="11">
                  <c:v>-1.0895712466392982E-2</c:v>
                </c:pt>
                <c:pt idx="12">
                  <c:v>6.4455877904674219E-2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7B5-4BC9-BE19-D87FF8D87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546570048309177"/>
          <c:y val="0.19562368325463131"/>
          <c:w val="0.87427463768115943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mens'!$I$95:$J$95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C4-4752-B344-7122C1607FB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mens'!$I$97:$I$109</c:f>
              <c:numCache>
                <c:formatCode>0.0%</c:formatCode>
                <c:ptCount val="13"/>
                <c:pt idx="0">
                  <c:v>0.59630000000000005</c:v>
                </c:pt>
                <c:pt idx="1">
                  <c:v>0.67659999999999998</c:v>
                </c:pt>
                <c:pt idx="2">
                  <c:v>0.64549999999999996</c:v>
                </c:pt>
                <c:pt idx="3">
                  <c:v>0.57799999999999996</c:v>
                </c:pt>
                <c:pt idx="4">
                  <c:v>0.47</c:v>
                </c:pt>
                <c:pt idx="5">
                  <c:v>0.59350000000000003</c:v>
                </c:pt>
                <c:pt idx="6">
                  <c:v>0.67799999999999994</c:v>
                </c:pt>
                <c:pt idx="7">
                  <c:v>0.70940000000000003</c:v>
                </c:pt>
                <c:pt idx="8">
                  <c:v>0.59689999999999999</c:v>
                </c:pt>
                <c:pt idx="9">
                  <c:v>0.67</c:v>
                </c:pt>
                <c:pt idx="10">
                  <c:v>0.68140000000000001</c:v>
                </c:pt>
                <c:pt idx="11">
                  <c:v>0.6583</c:v>
                </c:pt>
                <c:pt idx="12">
                  <c:v>0.62949166666666667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C4-4752-B344-7122C1607FB1}"/>
            </c:ext>
          </c:extLst>
        </c:ser>
        <c:ser>
          <c:idx val="0"/>
          <c:order val="1"/>
          <c:tx>
            <c:strRef>
              <c:f>'tasa de ocupación evol mens'!$K$95:$L$95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3C4-4752-B344-7122C1607FB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mens'!$K$97:$K$109</c:f>
              <c:numCache>
                <c:formatCode>0.0%</c:formatCode>
                <c:ptCount val="13"/>
                <c:pt idx="0">
                  <c:v>0.69739999999999991</c:v>
                </c:pt>
                <c:pt idx="1">
                  <c:v>0.72370000000000001</c:v>
                </c:pt>
                <c:pt idx="2">
                  <c:v>0.70950000000000002</c:v>
                </c:pt>
                <c:pt idx="3">
                  <c:v>0.6765000000000001</c:v>
                </c:pt>
                <c:pt idx="4">
                  <c:v>0.63129999999999997</c:v>
                </c:pt>
                <c:pt idx="5">
                  <c:v>0.66439999999999999</c:v>
                </c:pt>
                <c:pt idx="6">
                  <c:v>0.72719999999999996</c:v>
                </c:pt>
                <c:pt idx="7">
                  <c:v>0.76439999999999997</c:v>
                </c:pt>
                <c:pt idx="8">
                  <c:v>0.63200000000000001</c:v>
                </c:pt>
                <c:pt idx="9">
                  <c:v>0.68180000000000007</c:v>
                </c:pt>
                <c:pt idx="10">
                  <c:v>0.68409999999999993</c:v>
                </c:pt>
                <c:pt idx="11">
                  <c:v>0.68889999999999996</c:v>
                </c:pt>
                <c:pt idx="12">
                  <c:v>0.69010000000000005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C4-4752-B344-7122C1607FB1}"/>
            </c:ext>
          </c:extLst>
        </c:ser>
        <c:ser>
          <c:idx val="1"/>
          <c:order val="2"/>
          <c:tx>
            <c:strRef>
              <c:f>'tasa de ocupación evol mens'!$M$95:$N$95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C4-4752-B344-7122C1607FB1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mens'!$M$97:$M$109</c:f>
              <c:numCache>
                <c:formatCode>0.0%</c:formatCode>
                <c:ptCount val="13"/>
                <c:pt idx="0">
                  <c:v>0.7167</c:v>
                </c:pt>
                <c:pt idx="1">
                  <c:v>0.74269999999999992</c:v>
                </c:pt>
                <c:pt idx="2">
                  <c:v>0.69819999999999993</c:v>
                </c:pt>
                <c:pt idx="3">
                  <c:v>0.69909999999999994</c:v>
                </c:pt>
                <c:pt idx="4">
                  <c:v>0.5988</c:v>
                </c:pt>
                <c:pt idx="5">
                  <c:v>0.66870000000000007</c:v>
                </c:pt>
                <c:pt idx="6">
                  <c:v>0.77040000000000008</c:v>
                </c:pt>
                <c:pt idx="7">
                  <c:v>0.71860000000000002</c:v>
                </c:pt>
                <c:pt idx="8">
                  <c:v>0.67669999999999997</c:v>
                </c:pt>
                <c:pt idx="9">
                  <c:v>0.70450000000000002</c:v>
                </c:pt>
                <c:pt idx="10">
                  <c:v>0.66819999999999991</c:v>
                </c:pt>
                <c:pt idx="11">
                  <c:v>0.67400000000000004</c:v>
                </c:pt>
                <c:pt idx="12">
                  <c:v>0.69471666666666676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C4-4752-B344-7122C1607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mens'!$N$96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B3C4-4752-B344-7122C1607FB1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B3C4-4752-B344-7122C1607FB1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B3C4-4752-B344-7122C1607FB1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B3C4-4752-B344-7122C1607FB1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B3C4-4752-B344-7122C1607FB1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B3C4-4752-B344-7122C1607FB1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B3C4-4752-B344-7122C1607FB1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B3C4-4752-B344-7122C1607FB1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B3C4-4752-B344-7122C1607FB1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B3C4-4752-B344-7122C1607FB1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B3C4-4752-B344-7122C1607FB1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B3C4-4752-B344-7122C1607FB1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B3C4-4752-B344-7122C1607FB1}"/>
              </c:ext>
            </c:extLst>
          </c:dPt>
          <c:cat>
            <c:strRef>
              <c:f>'tasa de ocupación evol mens'!$B$97:$B$108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mens'!$N$97:$N$109</c:f>
              <c:numCache>
                <c:formatCode>0.0%</c:formatCode>
                <c:ptCount val="13"/>
                <c:pt idx="0">
                  <c:v>2.7674218525953753E-2</c:v>
                </c:pt>
                <c:pt idx="1">
                  <c:v>2.6253972640596812E-2</c:v>
                </c:pt>
                <c:pt idx="2">
                  <c:v>-1.5926708949964841E-2</c:v>
                </c:pt>
                <c:pt idx="3">
                  <c:v>3.3407243163340539E-2</c:v>
                </c:pt>
                <c:pt idx="4">
                  <c:v>-5.1481070806272733E-2</c:v>
                </c:pt>
                <c:pt idx="5">
                  <c:v>6.472004816375776E-3</c:v>
                </c:pt>
                <c:pt idx="6">
                  <c:v>5.9405940594059681E-2</c:v>
                </c:pt>
                <c:pt idx="7">
                  <c:v>-5.9916274201988418E-2</c:v>
                </c:pt>
                <c:pt idx="8">
                  <c:v>7.0727848101265867E-2</c:v>
                </c:pt>
                <c:pt idx="9">
                  <c:v>3.3294221179231309E-2</c:v>
                </c:pt>
                <c:pt idx="10">
                  <c:v>-2.3242216050285092E-2</c:v>
                </c:pt>
                <c:pt idx="11">
                  <c:v>-2.1628683408332017E-2</c:v>
                </c:pt>
                <c:pt idx="12">
                  <c:v>6.6898517123124002E-3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3C4-4752-B344-7122C1607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81210082"/>
          <c:y val="0.13979901161003525"/>
          <c:w val="0.85077925409699728"/>
          <c:h val="0.44673508775094251"/>
        </c:manualLayout>
      </c:layout>
      <c:lineChart>
        <c:grouping val="standard"/>
        <c:varyColors val="0"/>
        <c:ser>
          <c:idx val="5"/>
          <c:order val="2"/>
          <c:tx>
            <c:strRef>
              <c:f>'Viajeros entr evol mensu TF'!$I$139:$J$139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55-41F4-9514-FB46D90401D7}"/>
              </c:ext>
            </c:extLst>
          </c:dPt>
          <c:val>
            <c:numRef>
              <c:f>'Viajeros entr evol mensu TF'!$I$141:$I$153</c:f>
              <c:numCache>
                <c:formatCode>#,##0</c:formatCode>
                <c:ptCount val="13"/>
                <c:pt idx="0">
                  <c:v>4168</c:v>
                </c:pt>
                <c:pt idx="1">
                  <c:v>4770</c:v>
                </c:pt>
                <c:pt idx="2">
                  <c:v>4902</c:v>
                </c:pt>
                <c:pt idx="3">
                  <c:v>3848</c:v>
                </c:pt>
                <c:pt idx="4">
                  <c:v>2095</c:v>
                </c:pt>
                <c:pt idx="5">
                  <c:v>3004</c:v>
                </c:pt>
                <c:pt idx="6">
                  <c:v>2520</c:v>
                </c:pt>
                <c:pt idx="7">
                  <c:v>3156</c:v>
                </c:pt>
                <c:pt idx="8">
                  <c:v>3076</c:v>
                </c:pt>
                <c:pt idx="9">
                  <c:v>3785</c:v>
                </c:pt>
                <c:pt idx="10">
                  <c:v>4820</c:v>
                </c:pt>
                <c:pt idx="11">
                  <c:v>4975</c:v>
                </c:pt>
                <c:pt idx="12">
                  <c:v>45119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55-41F4-9514-FB46D90401D7}"/>
            </c:ext>
          </c:extLst>
        </c:ser>
        <c:ser>
          <c:idx val="0"/>
          <c:order val="3"/>
          <c:tx>
            <c:strRef>
              <c:f>'Viajeros entr evol mensu TF'!$K$139:$L$139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D55-41F4-9514-FB46D90401D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TF'!$K$141:$K$153</c:f>
              <c:numCache>
                <c:formatCode>#,##0</c:formatCode>
                <c:ptCount val="13"/>
                <c:pt idx="0">
                  <c:v>4030</c:v>
                </c:pt>
                <c:pt idx="1">
                  <c:v>4864</c:v>
                </c:pt>
                <c:pt idx="2">
                  <c:v>5123</c:v>
                </c:pt>
                <c:pt idx="3">
                  <c:v>3449</c:v>
                </c:pt>
                <c:pt idx="4">
                  <c:v>2729</c:v>
                </c:pt>
                <c:pt idx="5">
                  <c:v>2187</c:v>
                </c:pt>
                <c:pt idx="6">
                  <c:v>2455</c:v>
                </c:pt>
                <c:pt idx="7">
                  <c:v>3085</c:v>
                </c:pt>
                <c:pt idx="8">
                  <c:v>2728</c:v>
                </c:pt>
                <c:pt idx="9">
                  <c:v>4043</c:v>
                </c:pt>
                <c:pt idx="10">
                  <c:v>4637</c:v>
                </c:pt>
                <c:pt idx="11">
                  <c:v>5171</c:v>
                </c:pt>
                <c:pt idx="12">
                  <c:v>44501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55-41F4-9514-FB46D90401D7}"/>
            </c:ext>
          </c:extLst>
        </c:ser>
        <c:ser>
          <c:idx val="1"/>
          <c:order val="4"/>
          <c:tx>
            <c:strRef>
              <c:f>'Viajeros entr evol mensu TF'!$M$139:$N$139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55-41F4-9514-FB46D90401D7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55-41F4-9514-FB46D90401D7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TF'!$M$141:$M$153</c:f>
              <c:numCache>
                <c:formatCode>#,##0</c:formatCode>
                <c:ptCount val="13"/>
                <c:pt idx="0">
                  <c:v>4255</c:v>
                </c:pt>
                <c:pt idx="1">
                  <c:v>4432</c:v>
                </c:pt>
                <c:pt idx="2">
                  <c:v>4974</c:v>
                </c:pt>
                <c:pt idx="3">
                  <c:v>4586</c:v>
                </c:pt>
                <c:pt idx="4">
                  <c:v>2702</c:v>
                </c:pt>
                <c:pt idx="5">
                  <c:v>3148</c:v>
                </c:pt>
                <c:pt idx="6">
                  <c:v>3024</c:v>
                </c:pt>
                <c:pt idx="7">
                  <c:v>3470</c:v>
                </c:pt>
                <c:pt idx="8">
                  <c:v>3215</c:v>
                </c:pt>
                <c:pt idx="9">
                  <c:v>4633</c:v>
                </c:pt>
                <c:pt idx="10">
                  <c:v>6256</c:v>
                </c:pt>
                <c:pt idx="11">
                  <c:v>6256</c:v>
                </c:pt>
                <c:pt idx="12">
                  <c:v>50301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D55-41F4-9514-FB46D9040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TF'!$C$139:$D$139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4D55-41F4-9514-FB46D90401D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TF'!$C$141:$C$153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4685</c:v>
                      </c:pt>
                      <c:pt idx="1">
                        <c:v>4649</c:v>
                      </c:pt>
                      <c:pt idx="2">
                        <c:v>2369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1133</c:v>
                      </c:pt>
                      <c:pt idx="8">
                        <c:v>238</c:v>
                      </c:pt>
                      <c:pt idx="9">
                        <c:v>347</c:v>
                      </c:pt>
                      <c:pt idx="10">
                        <c:v>862</c:v>
                      </c:pt>
                      <c:pt idx="11">
                        <c:v>854</c:v>
                      </c:pt>
                      <c:pt idx="12">
                        <c:v>16159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4D55-41F4-9514-FB46D90401D7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'Viajeros entr evol mensu TF'!$G$139:$H$139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25400" cap="rnd">
                    <a:solidFill>
                      <a:srgbClr val="0047BA">
                        <a:lumMod val="20000"/>
                        <a:lumOff val="80000"/>
                      </a:srgb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47BA">
                        <a:lumMod val="20000"/>
                        <a:lumOff val="80000"/>
                      </a:srgbClr>
                    </a:solidFill>
                    <a:ln w="9525"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solidFill>
                        <a:srgbClr val="0047BA">
                          <a:lumMod val="20000"/>
                          <a:lumOff val="80000"/>
                        </a:srgbClr>
                      </a:solidFill>
                      <a:ln w="9525">
                        <a:solidFill>
                          <a:srgbClr val="0047BA">
                            <a:lumMod val="20000"/>
                            <a:lumOff val="80000"/>
                          </a:srgbClr>
                        </a:solidFill>
                      </a:ln>
                      <a:effectLst/>
                    </c:spPr>
                  </c:marker>
                  <c:bubble3D val="0"/>
                  <c:spPr>
                    <a:ln w="25400" cap="rnd">
                      <a:noFill/>
                      <a:round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4D55-41F4-9514-FB46D90401D7}"/>
                    </c:ext>
                  </c:extLst>
                </c:dP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('Viajeros entr evol mensu TF'!$G$141:$G$152,'Viajeros entr evol mensu TF'!$G$153)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3124</c:v>
                      </c:pt>
                      <c:pt idx="1">
                        <c:v>3140</c:v>
                      </c:pt>
                      <c:pt idx="2">
                        <c:v>3797</c:v>
                      </c:pt>
                      <c:pt idx="3">
                        <c:v>3884</c:v>
                      </c:pt>
                      <c:pt idx="4">
                        <c:v>1871</c:v>
                      </c:pt>
                      <c:pt idx="5">
                        <c:v>2403</c:v>
                      </c:pt>
                      <c:pt idx="6">
                        <c:v>2941</c:v>
                      </c:pt>
                      <c:pt idx="7">
                        <c:v>2558</c:v>
                      </c:pt>
                      <c:pt idx="8">
                        <c:v>2665</c:v>
                      </c:pt>
                      <c:pt idx="9">
                        <c:v>3276</c:v>
                      </c:pt>
                      <c:pt idx="10">
                        <c:v>4655</c:v>
                      </c:pt>
                      <c:pt idx="11">
                        <c:v>4758</c:v>
                      </c:pt>
                      <c:pt idx="12">
                        <c:v>39072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4D55-41F4-9514-FB46D90401D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5"/>
          <c:tx>
            <c:strRef>
              <c:f>'Viajeros entr evol mensu TF'!$N$140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4D55-41F4-9514-FB46D90401D7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4D55-41F4-9514-FB46D90401D7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D55-41F4-9514-FB46D90401D7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4D55-41F4-9514-FB46D90401D7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4D55-41F4-9514-FB46D90401D7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4D55-41F4-9514-FB46D90401D7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4D55-41F4-9514-FB46D90401D7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4D55-41F4-9514-FB46D90401D7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4D55-41F4-9514-FB46D90401D7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4D55-41F4-9514-FB46D90401D7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4D55-41F4-9514-FB46D90401D7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4D55-41F4-9514-FB46D90401D7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4D55-41F4-9514-FB46D90401D7}"/>
              </c:ext>
            </c:extLst>
          </c:dPt>
          <c:cat>
            <c:strRef>
              <c:f>'Viajeros entr evol mensu TF'!$B$141:$B$152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TF'!$N$141:$N$153</c:f>
              <c:numCache>
                <c:formatCode>0.0%</c:formatCode>
                <c:ptCount val="13"/>
                <c:pt idx="0">
                  <c:v>5.583126550868478E-2</c:v>
                </c:pt>
                <c:pt idx="1">
                  <c:v>-8.8815789473684181E-2</c:v>
                </c:pt>
                <c:pt idx="2">
                  <c:v>-2.9084520788600465E-2</c:v>
                </c:pt>
                <c:pt idx="3">
                  <c:v>0.32966077123803994</c:v>
                </c:pt>
                <c:pt idx="4">
                  <c:v>-9.8937339684865844E-3</c:v>
                </c:pt>
                <c:pt idx="5">
                  <c:v>0.43941472336534071</c:v>
                </c:pt>
                <c:pt idx="6">
                  <c:v>0.23177189409368637</c:v>
                </c:pt>
                <c:pt idx="7">
                  <c:v>0.12479740680713136</c:v>
                </c:pt>
                <c:pt idx="8">
                  <c:v>0.17851906158357767</c:v>
                </c:pt>
                <c:pt idx="9">
                  <c:v>0.14593123917882767</c:v>
                </c:pt>
                <c:pt idx="10">
                  <c:v>0.34914815613543237</c:v>
                </c:pt>
                <c:pt idx="11">
                  <c:v>0.20982401856507438</c:v>
                </c:pt>
                <c:pt idx="12">
                  <c:v>0.13033414979438662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D55-41F4-9514-FB46D9040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739082125603864"/>
          <c:y val="0.15564305555555558"/>
          <c:w val="0.8970059178743961"/>
          <c:h val="0.42248339762898768"/>
        </c:manualLayout>
      </c:layout>
      <c:lineChart>
        <c:grouping val="standard"/>
        <c:varyColors val="0"/>
        <c:ser>
          <c:idx val="3"/>
          <c:order val="0"/>
          <c:tx>
            <c:strRef>
              <c:f>'tasa de ocupación evol mens'!$I$73:$J$73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FE-4586-BA7B-95016C94166E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mens'!$I$75:$I$87</c:f>
              <c:numCache>
                <c:formatCode>0.0%</c:formatCode>
                <c:ptCount val="13"/>
                <c:pt idx="0">
                  <c:v>0.61450000000000005</c:v>
                </c:pt>
                <c:pt idx="1">
                  <c:v>0.73510000000000009</c:v>
                </c:pt>
                <c:pt idx="2">
                  <c:v>0.74170000000000003</c:v>
                </c:pt>
                <c:pt idx="3">
                  <c:v>0.68030000000000002</c:v>
                </c:pt>
                <c:pt idx="4">
                  <c:v>0.54620000000000002</c:v>
                </c:pt>
                <c:pt idx="5">
                  <c:v>0.69129999999999991</c:v>
                </c:pt>
                <c:pt idx="6">
                  <c:v>0.745</c:v>
                </c:pt>
                <c:pt idx="7">
                  <c:v>1.0290999999999999</c:v>
                </c:pt>
                <c:pt idx="8">
                  <c:v>0.73609999999999998</c:v>
                </c:pt>
                <c:pt idx="9">
                  <c:v>0.75290000000000001</c:v>
                </c:pt>
                <c:pt idx="10">
                  <c:v>0.76319999999999988</c:v>
                </c:pt>
                <c:pt idx="11">
                  <c:v>0.77870000000000006</c:v>
                </c:pt>
                <c:pt idx="12">
                  <c:v>0.73450833333333332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E-4586-BA7B-95016C94166E}"/>
            </c:ext>
          </c:extLst>
        </c:ser>
        <c:ser>
          <c:idx val="0"/>
          <c:order val="1"/>
          <c:tx>
            <c:strRef>
              <c:f>'tasa de ocupación evol mens'!$K$73:$L$73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78FE-4586-BA7B-95016C94166E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mens'!$K$75:$K$87</c:f>
              <c:numCache>
                <c:formatCode>0.0%</c:formatCode>
                <c:ptCount val="13"/>
                <c:pt idx="0">
                  <c:v>0.50130000000000008</c:v>
                </c:pt>
                <c:pt idx="1">
                  <c:v>0.65959999999999996</c:v>
                </c:pt>
                <c:pt idx="2">
                  <c:v>0.67459999999999998</c:v>
                </c:pt>
                <c:pt idx="3">
                  <c:v>0.60350000000000004</c:v>
                </c:pt>
                <c:pt idx="4">
                  <c:v>0.51469999999999994</c:v>
                </c:pt>
                <c:pt idx="5">
                  <c:v>0.64480000000000004</c:v>
                </c:pt>
                <c:pt idx="6">
                  <c:v>0.70840000000000003</c:v>
                </c:pt>
                <c:pt idx="7">
                  <c:v>0.72909999999999997</c:v>
                </c:pt>
                <c:pt idx="8">
                  <c:v>0.66900000000000004</c:v>
                </c:pt>
                <c:pt idx="9">
                  <c:v>0.66390000000000005</c:v>
                </c:pt>
                <c:pt idx="10">
                  <c:v>0.6855</c:v>
                </c:pt>
                <c:pt idx="11">
                  <c:v>0.67549999999999999</c:v>
                </c:pt>
                <c:pt idx="12">
                  <c:v>0.64415833333333339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FE-4586-BA7B-95016C94166E}"/>
            </c:ext>
          </c:extLst>
        </c:ser>
        <c:ser>
          <c:idx val="1"/>
          <c:order val="2"/>
          <c:tx>
            <c:strRef>
              <c:f>'tasa de ocupación evol mens'!$M$73:$N$73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78FE-4586-BA7B-95016C94166E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mens'!$M$75:$M$87</c:f>
              <c:numCache>
                <c:formatCode>0.0%</c:formatCode>
                <c:ptCount val="13"/>
                <c:pt idx="0">
                  <c:v>0.69620000000000004</c:v>
                </c:pt>
                <c:pt idx="1">
                  <c:v>0.70050000000000001</c:v>
                </c:pt>
                <c:pt idx="2">
                  <c:v>0.70730000000000004</c:v>
                </c:pt>
                <c:pt idx="3">
                  <c:v>0.64419999999999999</c:v>
                </c:pt>
                <c:pt idx="4">
                  <c:v>0.53700000000000003</c:v>
                </c:pt>
                <c:pt idx="5">
                  <c:v>0.66310000000000002</c:v>
                </c:pt>
                <c:pt idx="6">
                  <c:v>0.70920000000000005</c:v>
                </c:pt>
                <c:pt idx="7">
                  <c:v>0.65790000000000004</c:v>
                </c:pt>
                <c:pt idx="8">
                  <c:v>0.69969999999999999</c:v>
                </c:pt>
                <c:pt idx="9">
                  <c:v>0.71849999999999992</c:v>
                </c:pt>
                <c:pt idx="10">
                  <c:v>0.73080000000000001</c:v>
                </c:pt>
                <c:pt idx="11">
                  <c:v>0.68830000000000002</c:v>
                </c:pt>
                <c:pt idx="12">
                  <c:v>0.67939166666666673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FE-4586-BA7B-95016C941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3"/>
          <c:tx>
            <c:strRef>
              <c:f>'tasa de ocupación evol mens'!$N$74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78FE-4586-BA7B-95016C94166E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78FE-4586-BA7B-95016C94166E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8FE-4586-BA7B-95016C94166E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78FE-4586-BA7B-95016C94166E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78FE-4586-BA7B-95016C94166E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78FE-4586-BA7B-95016C94166E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8FE-4586-BA7B-95016C94166E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78FE-4586-BA7B-95016C94166E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78FE-4586-BA7B-95016C94166E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78FE-4586-BA7B-95016C94166E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78FE-4586-BA7B-95016C94166E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78FE-4586-BA7B-95016C94166E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78FE-4586-BA7B-95016C94166E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mens'!$N$75:$N$87</c:f>
              <c:numCache>
                <c:formatCode>0.0%</c:formatCode>
                <c:ptCount val="13"/>
                <c:pt idx="0">
                  <c:v>0.38878914821464172</c:v>
                </c:pt>
                <c:pt idx="1">
                  <c:v>6.2007277137659189E-2</c:v>
                </c:pt>
                <c:pt idx="2">
                  <c:v>4.8473169285502715E-2</c:v>
                </c:pt>
                <c:pt idx="3">
                  <c:v>6.7439933719966705E-2</c:v>
                </c:pt>
                <c:pt idx="4">
                  <c:v>4.3326209442393848E-2</c:v>
                </c:pt>
                <c:pt idx="5">
                  <c:v>2.8380893300248067E-2</c:v>
                </c:pt>
                <c:pt idx="6">
                  <c:v>1.1293054771315258E-3</c:v>
                </c:pt>
                <c:pt idx="7">
                  <c:v>-9.7654642710190531E-2</c:v>
                </c:pt>
                <c:pt idx="8">
                  <c:v>4.5889387144992355E-2</c:v>
                </c:pt>
                <c:pt idx="9">
                  <c:v>8.2241301400813205E-2</c:v>
                </c:pt>
                <c:pt idx="10">
                  <c:v>6.6083150984682648E-2</c:v>
                </c:pt>
                <c:pt idx="11">
                  <c:v>1.8948926720947501E-2</c:v>
                </c:pt>
                <c:pt idx="12">
                  <c:v>5.4696697240585346E-2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78FE-4586-BA7B-95016C941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3474552527311315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mens'!$I$29:$J$29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66-496D-BA59-CA76C75EA885}"/>
              </c:ext>
            </c:extLst>
          </c:dPt>
          <c:val>
            <c:numRef>
              <c:f>'tasa de ocupación evol mens'!$I$31:$I$43</c:f>
              <c:numCache>
                <c:formatCode>0.0%</c:formatCode>
                <c:ptCount val="13"/>
                <c:pt idx="0">
                  <c:v>0.72840000000000005</c:v>
                </c:pt>
                <c:pt idx="1">
                  <c:v>0.80059999999999998</c:v>
                </c:pt>
                <c:pt idx="2">
                  <c:v>0.76540000000000008</c:v>
                </c:pt>
                <c:pt idx="3">
                  <c:v>0.74760000000000004</c:v>
                </c:pt>
                <c:pt idx="4">
                  <c:v>0.68819999999999992</c:v>
                </c:pt>
                <c:pt idx="5">
                  <c:v>0.7591</c:v>
                </c:pt>
                <c:pt idx="6">
                  <c:v>0.8276</c:v>
                </c:pt>
                <c:pt idx="7">
                  <c:v>0.92049999999999998</c:v>
                </c:pt>
                <c:pt idx="8">
                  <c:v>0.77829999999999999</c:v>
                </c:pt>
                <c:pt idx="9">
                  <c:v>0.8165</c:v>
                </c:pt>
                <c:pt idx="10">
                  <c:v>0.78749999999999998</c:v>
                </c:pt>
                <c:pt idx="11">
                  <c:v>0.77560000000000007</c:v>
                </c:pt>
                <c:pt idx="12">
                  <c:v>0.78267164381948651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66-496D-BA59-CA76C75EA885}"/>
            </c:ext>
          </c:extLst>
        </c:ser>
        <c:ser>
          <c:idx val="0"/>
          <c:order val="2"/>
          <c:tx>
            <c:strRef>
              <c:f>'tasa de ocupación evol mens'!$K$29:$L$29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66-496D-BA59-CA76C75EA88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mens'!$K$31:$K$43</c:f>
              <c:numCache>
                <c:formatCode>0.0%</c:formatCode>
                <c:ptCount val="13"/>
                <c:pt idx="0">
                  <c:v>0.71640000000000004</c:v>
                </c:pt>
                <c:pt idx="1">
                  <c:v>0.76670000000000005</c:v>
                </c:pt>
                <c:pt idx="2">
                  <c:v>0.76760000000000006</c:v>
                </c:pt>
                <c:pt idx="3">
                  <c:v>0.71609999999999996</c:v>
                </c:pt>
                <c:pt idx="4">
                  <c:v>0.67500000000000004</c:v>
                </c:pt>
                <c:pt idx="5">
                  <c:v>0.74480000000000002</c:v>
                </c:pt>
                <c:pt idx="6">
                  <c:v>0.78220000000000001</c:v>
                </c:pt>
                <c:pt idx="7">
                  <c:v>0.81459999999999999</c:v>
                </c:pt>
                <c:pt idx="8">
                  <c:v>0.76139999999999997</c:v>
                </c:pt>
                <c:pt idx="9">
                  <c:v>0.7772</c:v>
                </c:pt>
                <c:pt idx="10">
                  <c:v>0.73769999999999991</c:v>
                </c:pt>
                <c:pt idx="11">
                  <c:v>0.7198</c:v>
                </c:pt>
                <c:pt idx="12">
                  <c:v>0.74871629285684138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66-496D-BA59-CA76C75EA885}"/>
            </c:ext>
          </c:extLst>
        </c:ser>
        <c:ser>
          <c:idx val="1"/>
          <c:order val="3"/>
          <c:tx>
            <c:strRef>
              <c:f>'tasa de ocupación evol mens'!$M$29:$N$29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66-496D-BA59-CA76C75EA885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E66-496D-BA59-CA76C75EA885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mens'!$M$31:$M$43</c:f>
              <c:numCache>
                <c:formatCode>0.0%</c:formatCode>
                <c:ptCount val="13"/>
                <c:pt idx="0">
                  <c:v>0.747</c:v>
                </c:pt>
                <c:pt idx="1">
                  <c:v>0.7743000000000001</c:v>
                </c:pt>
                <c:pt idx="2">
                  <c:v>0.7409</c:v>
                </c:pt>
                <c:pt idx="3">
                  <c:v>0.66430000000000011</c:v>
                </c:pt>
                <c:pt idx="4">
                  <c:v>0.68510000000000004</c:v>
                </c:pt>
                <c:pt idx="5">
                  <c:v>0.77500000000000002</c:v>
                </c:pt>
                <c:pt idx="6">
                  <c:v>0.84400000000000008</c:v>
                </c:pt>
                <c:pt idx="7">
                  <c:v>0.84900000000000009</c:v>
                </c:pt>
                <c:pt idx="8">
                  <c:v>0.77910000000000001</c:v>
                </c:pt>
                <c:pt idx="9">
                  <c:v>0.8456999999999999</c:v>
                </c:pt>
                <c:pt idx="10">
                  <c:v>0.78620000000000001</c:v>
                </c:pt>
                <c:pt idx="11">
                  <c:v>0.71849999999999992</c:v>
                </c:pt>
                <c:pt idx="12">
                  <c:v>0.76744250035763473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E66-496D-BA59-CA76C75EA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mens'!$C$29:$D$29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EE66-496D-BA59-CA76C75EA885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mens'!$C$31:$C$43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0.74340000000000006</c:v>
                      </c:pt>
                      <c:pt idx="1">
                        <c:v>0.73480000000000001</c:v>
                      </c:pt>
                      <c:pt idx="2">
                        <c:v>0.31909999999999999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0.39679999999999999</c:v>
                      </c:pt>
                      <c:pt idx="8">
                        <c:v>0.24129999999999999</c:v>
                      </c:pt>
                      <c:pt idx="9">
                        <c:v>0.1978</c:v>
                      </c:pt>
                      <c:pt idx="10">
                        <c:v>0.20780000000000001</c:v>
                      </c:pt>
                      <c:pt idx="11">
                        <c:v>0.19519999999999998</c:v>
                      </c:pt>
                      <c:pt idx="12">
                        <c:v>0.47595609055413801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EE66-496D-BA59-CA76C75EA88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mens'!$N$30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E66-496D-BA59-CA76C75EA885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E66-496D-BA59-CA76C75EA885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E66-496D-BA59-CA76C75EA885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E66-496D-BA59-CA76C75EA885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EE66-496D-BA59-CA76C75EA885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E66-496D-BA59-CA76C75EA885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EE66-496D-BA59-CA76C75EA885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EE66-496D-BA59-CA76C75EA885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EE66-496D-BA59-CA76C75EA885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EE66-496D-BA59-CA76C75EA885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EE66-496D-BA59-CA76C75EA885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EE66-496D-BA59-CA76C75EA885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EE66-496D-BA59-CA76C75EA885}"/>
              </c:ext>
            </c:extLst>
          </c:dPt>
          <c:cat>
            <c:strRef>
              <c:f>'tasa de ocupación evol mens'!$B$31:$B$42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mens'!$N$31:$N$43</c:f>
              <c:numCache>
                <c:formatCode>0.0%</c:formatCode>
                <c:ptCount val="13"/>
                <c:pt idx="0">
                  <c:v>4.2713567839195887E-2</c:v>
                </c:pt>
                <c:pt idx="1">
                  <c:v>9.9126124951089967E-3</c:v>
                </c:pt>
                <c:pt idx="2">
                  <c:v>-3.4783741532047996E-2</c:v>
                </c:pt>
                <c:pt idx="3">
                  <c:v>-7.2336265884652806E-2</c:v>
                </c:pt>
                <c:pt idx="4">
                  <c:v>1.4962962962963067E-2</c:v>
                </c:pt>
                <c:pt idx="5">
                  <c:v>4.0547798066595142E-2</c:v>
                </c:pt>
                <c:pt idx="6">
                  <c:v>7.9007926361544412E-2</c:v>
                </c:pt>
                <c:pt idx="7">
                  <c:v>4.2229315001227619E-2</c:v>
                </c:pt>
                <c:pt idx="8">
                  <c:v>2.3246650906225463E-2</c:v>
                </c:pt>
                <c:pt idx="9">
                  <c:v>8.813690169840438E-2</c:v>
                </c:pt>
                <c:pt idx="10">
                  <c:v>6.5744882743662858E-2</c:v>
                </c:pt>
                <c:pt idx="11">
                  <c:v>-1.8060572381217721E-3</c:v>
                </c:pt>
                <c:pt idx="12">
                  <c:v>2.5011085880528361E-2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E66-496D-BA59-CA76C75EA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879304380456516"/>
          <c:y val="0.15001701508510548"/>
          <c:w val="0.87120700483091784"/>
          <c:h val="0.42248339762898768"/>
        </c:manualLayout>
      </c:layout>
      <c:lineChart>
        <c:grouping val="standard"/>
        <c:varyColors val="0"/>
        <c:ser>
          <c:idx val="5"/>
          <c:order val="1"/>
          <c:tx>
            <c:strRef>
              <c:f>'tasa de ocupación evol mens'!$I$51:$J$51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B9-4E34-873C-F91760DA0664}"/>
              </c:ext>
            </c:extLst>
          </c:dPt>
          <c:val>
            <c:numRef>
              <c:f>'tasa de ocupación evol mens'!$I$53:$I$65</c:f>
              <c:numCache>
                <c:formatCode>0.0%</c:formatCode>
                <c:ptCount val="13"/>
                <c:pt idx="0">
                  <c:v>0.77359999999999995</c:v>
                </c:pt>
                <c:pt idx="1">
                  <c:v>0.82489999999999997</c:v>
                </c:pt>
                <c:pt idx="2">
                  <c:v>0.7742</c:v>
                </c:pt>
                <c:pt idx="3">
                  <c:v>0.77370000000000005</c:v>
                </c:pt>
                <c:pt idx="4">
                  <c:v>0.7340000000000001</c:v>
                </c:pt>
                <c:pt idx="5">
                  <c:v>0.78079999999999994</c:v>
                </c:pt>
                <c:pt idx="6">
                  <c:v>0.85389999999999999</c:v>
                </c:pt>
                <c:pt idx="7">
                  <c:v>0.88569999999999993</c:v>
                </c:pt>
                <c:pt idx="8">
                  <c:v>0.79090000000000005</c:v>
                </c:pt>
                <c:pt idx="9">
                  <c:v>0.83700000000000008</c:v>
                </c:pt>
                <c:pt idx="10">
                  <c:v>0.79700000000000004</c:v>
                </c:pt>
                <c:pt idx="11">
                  <c:v>0.77450000000000008</c:v>
                </c:pt>
                <c:pt idx="12">
                  <c:v>0.80004964778484555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B9-4E34-873C-F91760DA0664}"/>
            </c:ext>
          </c:extLst>
        </c:ser>
        <c:ser>
          <c:idx val="0"/>
          <c:order val="2"/>
          <c:tx>
            <c:strRef>
              <c:f>'tasa de ocupación evol mens'!$K$51:$L$51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CB9-4E34-873C-F91760DA0664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mens'!$K$53:$K$65</c:f>
              <c:numCache>
                <c:formatCode>0.0%</c:formatCode>
                <c:ptCount val="13"/>
                <c:pt idx="0">
                  <c:v>0.79760000000000009</c:v>
                </c:pt>
                <c:pt idx="1">
                  <c:v>0.80709999999999993</c:v>
                </c:pt>
                <c:pt idx="2">
                  <c:v>0.80279999999999996</c:v>
                </c:pt>
                <c:pt idx="3">
                  <c:v>0.75859999999999994</c:v>
                </c:pt>
                <c:pt idx="4">
                  <c:v>0.73549999999999993</c:v>
                </c:pt>
                <c:pt idx="5">
                  <c:v>0.78249999999999997</c:v>
                </c:pt>
                <c:pt idx="6">
                  <c:v>0.80819999999999992</c:v>
                </c:pt>
                <c:pt idx="7">
                  <c:v>0.8448</c:v>
                </c:pt>
                <c:pt idx="8">
                  <c:v>0.79409999999999992</c:v>
                </c:pt>
                <c:pt idx="9">
                  <c:v>0.81709999999999994</c:v>
                </c:pt>
                <c:pt idx="10">
                  <c:v>0.75609999999999999</c:v>
                </c:pt>
                <c:pt idx="11">
                  <c:v>0.73540000000000005</c:v>
                </c:pt>
                <c:pt idx="12">
                  <c:v>0.78689544739702177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B9-4E34-873C-F91760DA0664}"/>
            </c:ext>
          </c:extLst>
        </c:ser>
        <c:ser>
          <c:idx val="1"/>
          <c:order val="3"/>
          <c:tx>
            <c:strRef>
              <c:f>'tasa de ocupación evol mens'!$M$51:$N$51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58B6C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CB9-4E34-873C-F91760DA0664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CB9-4E34-873C-F91760DA0664}"/>
              </c:ext>
            </c:extLst>
          </c:dPt>
          <c:cat>
            <c:strRef>
              <c:f>'tasa de ocupación evol mens'!$A$9:$A$21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'tasa de ocupación evol mens'!$M$53:$M$65</c:f>
              <c:numCache>
                <c:formatCode>0.0%</c:formatCode>
                <c:ptCount val="13"/>
                <c:pt idx="0">
                  <c:v>0.76450000000000007</c:v>
                </c:pt>
                <c:pt idx="1">
                  <c:v>0.80030000000000001</c:v>
                </c:pt>
                <c:pt idx="2">
                  <c:v>0.75040000000000007</c:v>
                </c:pt>
                <c:pt idx="3">
                  <c:v>0.67</c:v>
                </c:pt>
                <c:pt idx="4">
                  <c:v>0.72730000000000006</c:v>
                </c:pt>
                <c:pt idx="5">
                  <c:v>0.80680000000000007</c:v>
                </c:pt>
                <c:pt idx="6">
                  <c:v>0.88239999999999996</c:v>
                </c:pt>
                <c:pt idx="7">
                  <c:v>0.90339999999999998</c:v>
                </c:pt>
                <c:pt idx="8">
                  <c:v>0.80169999999999997</c:v>
                </c:pt>
                <c:pt idx="9">
                  <c:v>0.88200000000000001</c:v>
                </c:pt>
                <c:pt idx="10">
                  <c:v>0.80189999999999995</c:v>
                </c:pt>
                <c:pt idx="11">
                  <c:v>0.72709999999999997</c:v>
                </c:pt>
                <c:pt idx="12">
                  <c:v>0.79328500348068165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CB9-4E34-873C-F91760DA0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'tasa de ocupación evol mens'!$C$51:$D$51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CB9-4E34-873C-F91760DA0664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'tasa de ocupación evol mens'!$A$9:$A$21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'tasa de ocupación evol mens'!$C$53:$C$65</c15:sqref>
                        </c15:formulaRef>
                      </c:ext>
                    </c:extLst>
                    <c:numCache>
                      <c:formatCode>0.0%</c:formatCode>
                      <c:ptCount val="13"/>
                      <c:pt idx="0">
                        <c:v>0.77239999999999998</c:v>
                      </c:pt>
                      <c:pt idx="1">
                        <c:v>0.74970000000000003</c:v>
                      </c:pt>
                      <c:pt idx="2">
                        <c:v>0.31869999999999998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0.4476</c:v>
                      </c:pt>
                      <c:pt idx="8">
                        <c:v>0.28889999999999999</c:v>
                      </c:pt>
                      <c:pt idx="9">
                        <c:v>0.25650000000000001</c:v>
                      </c:pt>
                      <c:pt idx="10">
                        <c:v>0.24109999999999998</c:v>
                      </c:pt>
                      <c:pt idx="11">
                        <c:v>0.21739999999999998</c:v>
                      </c:pt>
                      <c:pt idx="12">
                        <c:v>0.50671090593578938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CB9-4E34-873C-F91760DA066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'tasa de ocupación evol mens'!$N$52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CB9-4E34-873C-F91760DA0664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CB9-4E34-873C-F91760DA0664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CB9-4E34-873C-F91760DA0664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CB9-4E34-873C-F91760DA0664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CB9-4E34-873C-F91760DA0664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CB9-4E34-873C-F91760DA0664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CB9-4E34-873C-F91760DA0664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CB9-4E34-873C-F91760DA0664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CB9-4E34-873C-F91760DA0664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CB9-4E34-873C-F91760DA0664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CB9-4E34-873C-F91760DA0664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CB9-4E34-873C-F91760DA0664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CB9-4E34-873C-F91760DA0664}"/>
              </c:ext>
            </c:extLst>
          </c:dPt>
          <c:cat>
            <c:strRef>
              <c:f>'tasa de ocupación evol mens'!$B$53:$B$64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'tasa de ocupación evol mens'!$N$53:$N$65</c:f>
              <c:numCache>
                <c:formatCode>0.0%</c:formatCode>
                <c:ptCount val="13"/>
                <c:pt idx="0">
                  <c:v>-4.1499498495486509E-2</c:v>
                </c:pt>
                <c:pt idx="1">
                  <c:v>-8.4252261182008459E-3</c:v>
                </c:pt>
                <c:pt idx="2">
                  <c:v>-6.527154957648218E-2</c:v>
                </c:pt>
                <c:pt idx="3">
                  <c:v>-0.11679409438439214</c:v>
                </c:pt>
                <c:pt idx="4">
                  <c:v>-1.1148878314071853E-2</c:v>
                </c:pt>
                <c:pt idx="5">
                  <c:v>3.1054313099041719E-2</c:v>
                </c:pt>
                <c:pt idx="6">
                  <c:v>9.1808958178668743E-2</c:v>
                </c:pt>
                <c:pt idx="7">
                  <c:v>6.9365530303030276E-2</c:v>
                </c:pt>
                <c:pt idx="8">
                  <c:v>9.5705830499936972E-3</c:v>
                </c:pt>
                <c:pt idx="9">
                  <c:v>7.9427242687553523E-2</c:v>
                </c:pt>
                <c:pt idx="10">
                  <c:v>6.0573998148393038E-2</c:v>
                </c:pt>
                <c:pt idx="11">
                  <c:v>-1.1286374762034423E-2</c:v>
                </c:pt>
                <c:pt idx="12">
                  <c:v>8.1199555859625683E-3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CB9-4E34-873C-F91760DA0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500876382174E-3"/>
          <c:y val="0.5733020131929728"/>
          <c:w val="0.97760879170679205"/>
          <c:h val="0.224754101996125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'distribución españoles x Resid'!$J$5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6"/>
            </a:solidFill>
            <a:ln w="28575">
              <a:solidFill>
                <a:schemeClr val="bg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s-ES"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Resid'!$J$8,'distribución españoles x Resid'!$J$10:$J$11)</c:f>
              <c:numCache>
                <c:formatCode>#,##0</c:formatCode>
                <c:ptCount val="3"/>
                <c:pt idx="0">
                  <c:v>64410</c:v>
                </c:pt>
                <c:pt idx="1">
                  <c:v>34697</c:v>
                </c:pt>
                <c:pt idx="2">
                  <c:v>15525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5-4138-81F3-A65B0977BAC0}"/>
            </c:ext>
          </c:extLst>
        </c:ser>
        <c:ser>
          <c:idx val="0"/>
          <c:order val="1"/>
          <c:tx>
            <c:strRef>
              <c:f>'distribución españoles x Resid'!$N$5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66849</c:v>
                </c:pt>
                <c:pt idx="1">
                  <c:v>30960</c:v>
                </c:pt>
                <c:pt idx="2">
                  <c:v>20448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55-4138-81F3-A65B0977B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1632"/>
        <c:axId val="-1992649584"/>
      </c:barChart>
      <c:barChart>
        <c:barDir val="col"/>
        <c:grouping val="clustered"/>
        <c:varyColors val="0"/>
        <c:ser>
          <c:idx val="3"/>
          <c:order val="3"/>
          <c:tx>
            <c:v>cuota</c:v>
          </c:tx>
          <c:spPr>
            <a:noFill/>
            <a:ln w="12700">
              <a:solidFill>
                <a:srgbClr val="9BBB59">
                  <a:lumMod val="75000"/>
                </a:srgbClr>
              </a:solidFill>
            </a:ln>
          </c:spPr>
          <c:invertIfNegative val="0"/>
          <c:dPt>
            <c:idx val="0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E55-4138-81F3-A65B0977BAC0}"/>
              </c:ext>
            </c:extLst>
          </c:dPt>
          <c:dPt>
            <c:idx val="1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E55-4138-81F3-A65B0977BAC0}"/>
              </c:ext>
            </c:extLst>
          </c:dPt>
          <c:dPt>
            <c:idx val="2"/>
            <c:invertIfNegative val="0"/>
            <c:bubble3D val="0"/>
            <c:spPr>
              <a:noFill/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E55-4138-81F3-A65B0977BAC0}"/>
              </c:ext>
            </c:extLst>
          </c:dPt>
          <c:dLbls>
            <c:dLbl>
              <c:idx val="0"/>
              <c:layout>
                <c:manualLayout>
                  <c:x val="2.2408963585434184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55-4138-81F3-A65B0977BAC0}"/>
                </c:ext>
              </c:extLst>
            </c:dLbl>
            <c:dLbl>
              <c:idx val="1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55-4138-81F3-A65B0977BAC0}"/>
                </c:ext>
              </c:extLst>
            </c:dLbl>
            <c:dLbl>
              <c:idx val="2"/>
              <c:layout>
                <c:manualLayout>
                  <c:x val="3.3613445378151259E-2"/>
                  <c:y val="7.7396657871591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55-4138-81F3-A65B0977BAC0}"/>
                </c:ext>
              </c:extLst>
            </c:dLbl>
            <c:dLbl>
              <c:idx val="3"/>
              <c:layout>
                <c:manualLayout>
                  <c:x val="3.8095238095238099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55-4138-81F3-A65B0977BAC0}"/>
                </c:ext>
              </c:extLst>
            </c:dLbl>
            <c:dLbl>
              <c:idx val="4"/>
              <c:layout>
                <c:manualLayout>
                  <c:x val="3.5854341736694599E-2"/>
                  <c:y val="8.0914687774846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55-4138-81F3-A65B0977BAC0}"/>
                </c:ext>
              </c:extLst>
            </c:dLbl>
            <c:dLbl>
              <c:idx val="5"/>
              <c:layout>
                <c:manualLayout>
                  <c:x val="4.0336134453781515E-2"/>
                  <c:y val="7.38786279683377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55-4138-81F3-A65B0977BAC0}"/>
                </c:ext>
              </c:extLst>
            </c:dLbl>
            <c:spPr>
              <a:noFill/>
              <a:ln>
                <a:solidFill>
                  <a:srgbClr val="9BBB59">
                    <a:lumMod val="7500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>
                        <a:lumMod val="6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('distribución españoles x Resid'!$S$8,'distribución españoles x Resid'!$S$10,'distribución españoles x Resid'!$S$11)</c:f>
              <c:numCache>
                <c:formatCode>0.0%</c:formatCode>
                <c:ptCount val="3"/>
                <c:pt idx="0">
                  <c:v>0.56528577589487305</c:v>
                </c:pt>
                <c:pt idx="1">
                  <c:v>0.26180268398488038</c:v>
                </c:pt>
                <c:pt idx="2">
                  <c:v>0.17291154012024659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E55-4138-81F3-A65B0977B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-1992634352"/>
        <c:axId val="-1992646864"/>
      </c:barChart>
      <c:lineChart>
        <c:grouping val="standard"/>
        <c:varyColors val="0"/>
        <c:ser>
          <c:idx val="1"/>
          <c:order val="2"/>
          <c:tx>
            <c:strRef>
              <c:f>'distribución españoles x Resid'!$O$5</c:f>
              <c:strCache>
                <c:ptCount val="1"/>
                <c:pt idx="0">
                  <c:v>var. 25/24</c:v>
                </c:pt>
              </c:strCache>
            </c:strRef>
          </c:tx>
          <c:spPr>
            <a:ln w="28575">
              <a:noFill/>
            </a:ln>
          </c:spPr>
          <c:marker>
            <c:spPr>
              <a:noFill/>
              <a:ln w="12700">
                <a:solidFill>
                  <a:schemeClr val="accent6"/>
                </a:solidFill>
              </a:ln>
            </c:spPr>
          </c:marker>
          <c:dPt>
            <c:idx val="0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E55-4138-81F3-A65B0977BAC0}"/>
              </c:ext>
            </c:extLst>
          </c:dPt>
          <c:dPt>
            <c:idx val="1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E55-4138-81F3-A65B0977BAC0}"/>
              </c:ext>
            </c:extLst>
          </c:dPt>
          <c:dPt>
            <c:idx val="2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E55-4138-81F3-A65B0977BAC0}"/>
              </c:ext>
            </c:extLst>
          </c:dPt>
          <c:dPt>
            <c:idx val="3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E55-4138-81F3-A65B0977BAC0}"/>
              </c:ext>
            </c:extLst>
          </c:dPt>
          <c:dPt>
            <c:idx val="4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E55-4138-81F3-A65B0977BAC0}"/>
              </c:ext>
            </c:extLst>
          </c:dPt>
          <c:dPt>
            <c:idx val="5"/>
            <c:marker>
              <c:spPr>
                <a:noFill/>
                <a:ln w="12700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E55-4138-81F3-A65B0977BAC0}"/>
              </c:ext>
            </c:extLst>
          </c:dPt>
          <c:dLbls>
            <c:dLbl>
              <c:idx val="0"/>
              <c:layout>
                <c:manualLayout>
                  <c:x val="-5.6085850813717919E-2"/>
                  <c:y val="-0.388277533883691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E55-4138-81F3-A65B0977BAC0}"/>
                </c:ext>
              </c:extLst>
            </c:dLbl>
            <c:dLbl>
              <c:idx val="1"/>
              <c:layout>
                <c:manualLayout>
                  <c:x val="-4.1760392381352811E-2"/>
                  <c:y val="-0.305844772657881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55-4138-81F3-A65B0977BAC0}"/>
                </c:ext>
              </c:extLst>
            </c:dLbl>
            <c:dLbl>
              <c:idx val="2"/>
              <c:layout>
                <c:manualLayout>
                  <c:x val="-2.9322635206400466E-2"/>
                  <c:y val="-0.268635901524967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E55-4138-81F3-A65B0977BAC0}"/>
                </c:ext>
              </c:extLst>
            </c:dLbl>
            <c:dLbl>
              <c:idx val="3"/>
              <c:layout>
                <c:manualLayout>
                  <c:x val="-2.617759233913217E-2"/>
                  <c:y val="-0.235970545292881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E55-4138-81F3-A65B0977BAC0}"/>
                </c:ext>
              </c:extLst>
            </c:dLbl>
            <c:dLbl>
              <c:idx val="4"/>
              <c:layout>
                <c:manualLayout>
                  <c:x val="-3.7427537735676572E-2"/>
                  <c:y val="-0.208312812996707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E55-4138-81F3-A65B0977BAC0}"/>
                </c:ext>
              </c:extLst>
            </c:dLbl>
            <c:dLbl>
              <c:idx val="5"/>
              <c:layout>
                <c:manualLayout>
                  <c:x val="-5.2666710778799711E-2"/>
                  <c:y val="-0.2380825351976122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E55-4138-81F3-A65B0977BAC0}"/>
                </c:ext>
              </c:extLst>
            </c:dLbl>
            <c:numFmt formatCode="0.0%" sourceLinked="0"/>
            <c:spPr>
              <a:noFill/>
              <a:ln w="12700">
                <a:solidFill>
                  <a:srgbClr val="1ECAD3"/>
                </a:solidFill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accent3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Resid'!$O$8,'distribución españoles x Resid'!$O$10:$O$11)</c:f>
              <c:numCache>
                <c:formatCode>0.0%</c:formatCode>
                <c:ptCount val="3"/>
                <c:pt idx="0">
                  <c:v>3.7866790870982658E-2</c:v>
                </c:pt>
                <c:pt idx="1">
                  <c:v>-0.10770383606651868</c:v>
                </c:pt>
                <c:pt idx="2">
                  <c:v>0.31710144927536232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E55-4138-81F3-A65B0977BA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92634352"/>
        <c:axId val="-1992646864"/>
      </c:lineChart>
      <c:catAx>
        <c:axId val="-199263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 rtl="0">
              <a:defRPr sz="11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-1992649584"/>
        <c:crosses val="autoZero"/>
        <c:auto val="1"/>
        <c:lblAlgn val="ctr"/>
        <c:lblOffset val="700"/>
        <c:tickLblSkip val="1"/>
        <c:tickMarkSkip val="1"/>
        <c:noMultiLvlLbl val="0"/>
      </c:catAx>
      <c:valAx>
        <c:axId val="-199264958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-1992631632"/>
        <c:crosses val="autoZero"/>
        <c:crossBetween val="between"/>
      </c:valAx>
      <c:catAx>
        <c:axId val="-199263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92646864"/>
        <c:crosses val="autoZero"/>
        <c:auto val="1"/>
        <c:lblAlgn val="ctr"/>
        <c:lblOffset val="100"/>
        <c:noMultiLvlLbl val="0"/>
      </c:catAx>
      <c:valAx>
        <c:axId val="-1992646864"/>
        <c:scaling>
          <c:orientation val="minMax"/>
          <c:max val="0.5"/>
          <c:min val="-0.5"/>
        </c:scaling>
        <c:delete val="1"/>
        <c:axPos val="r"/>
        <c:numFmt formatCode="0.0%" sourceLinked="1"/>
        <c:majorTickMark val="out"/>
        <c:minorTickMark val="none"/>
        <c:tickLblPos val="none"/>
        <c:crossAx val="-1992634352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3.9550600542806305E-2"/>
          <c:y val="0.12537201577809509"/>
          <c:w val="0.86702381074488111"/>
          <c:h val="6.7882741570232469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Resid'!$N$5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135460146906506"/>
          <c:y val="0.2283322201574197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Resid'!$N$5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E47-4782-B24E-91799204BC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E47-4782-B24E-91799204BC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E47-4782-B24E-91799204BC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E47-4782-B24E-91799204BC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E47-4782-B24E-91799204BCBA}"/>
              </c:ext>
            </c:extLst>
          </c:dPt>
          <c:dLbls>
            <c:dLbl>
              <c:idx val="0"/>
              <c:layout>
                <c:manualLayout>
                  <c:x val="-7.2623912404118932E-2"/>
                  <c:y val="-7.38758059166435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47-4782-B24E-91799204BCBA}"/>
                </c:ext>
              </c:extLst>
            </c:dLbl>
            <c:dLbl>
              <c:idx val="1"/>
              <c:layout>
                <c:manualLayout>
                  <c:x val="3.6318654252135235E-2"/>
                  <c:y val="0.1319036216837580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47-4782-B24E-91799204BCBA}"/>
                </c:ext>
              </c:extLst>
            </c:dLbl>
            <c:dLbl>
              <c:idx val="2"/>
              <c:layout>
                <c:manualLayout>
                  <c:x val="2.4638777203978012E-2"/>
                  <c:y val="-4.13174550526827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47-4782-B24E-91799204BCBA}"/>
                </c:ext>
              </c:extLst>
            </c:dLbl>
            <c:dLbl>
              <c:idx val="3"/>
              <c:layout>
                <c:manualLayout>
                  <c:x val="-6.361061988303239E-2"/>
                  <c:y val="4.594985971581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47-4782-B24E-91799204BCBA}"/>
                </c:ext>
              </c:extLst>
            </c:dLbl>
            <c:dLbl>
              <c:idx val="4"/>
              <c:layout>
                <c:manualLayout>
                  <c:x val="2.5258524449330633E-2"/>
                  <c:y val="-3.3707424502971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47-4782-B24E-91799204BCBA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E47-4782-B24E-91799204BC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Resid'!$B$8,'distribución españoles x Resid'!$B$10:$B$11)</c:f>
              <c:strCache>
                <c:ptCount val="3"/>
                <c:pt idx="0">
                  <c:v>Península</c:v>
                </c:pt>
                <c:pt idx="1">
                  <c:v>Residentes en Tenerife</c:v>
                </c:pt>
                <c:pt idx="2">
                  <c:v>Residentes resto de Canarias</c:v>
                </c:pt>
              </c:strCache>
            </c:strRef>
          </c:cat>
          <c:val>
            <c:numRef>
              <c:f>('distribución españoles x Resid'!$N$8,'distribución españoles x Resid'!$N$10:$N$11)</c:f>
              <c:numCache>
                <c:formatCode>#,##0</c:formatCode>
                <c:ptCount val="3"/>
                <c:pt idx="0">
                  <c:v>66849</c:v>
                </c:pt>
                <c:pt idx="1">
                  <c:v>30960</c:v>
                </c:pt>
                <c:pt idx="2">
                  <c:v>20448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E47-4782-B24E-91799204B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2B-4E83-9379-495639216C31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2B-4E83-9379-495639216C31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2B-4E83-9379-495639216C31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2B-4E83-9379-495639216C31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2B-4E83-9379-495639216C31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2B-4E83-9379-495639216C31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2B-4E83-9379-495639216C31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2B-4E83-9379-495639216C31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2B-4E83-9379-495639216C31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2B-4E83-9379-495639216C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102B-4E83-9379-495639216C31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2B-4E83-9379-495639216C31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2B-4E83-9379-495639216C31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2B-4E83-9379-495639216C31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2B-4E83-9379-495639216C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102B-4E83-9379-495639216C31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102B-4E83-9379-495639216C31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02B-4E83-9379-495639216C31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02B-4E83-9379-495639216C31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02B-4E83-9379-495639216C31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02B-4E83-9379-495639216C31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02B-4E83-9379-495639216C31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02B-4E83-9379-495639216C31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02B-4E83-9379-495639216C31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02B-4E83-9379-495639216C31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02B-4E83-9379-495639216C31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02B-4E83-9379-495639216C31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02B-4E83-9379-495639216C31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02B-4E83-9379-495639216C31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02B-4E83-9379-495639216C31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02B-4E83-9379-495639216C31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02B-4E83-9379-495639216C31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02B-4E83-9379-495639216C3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102B-4E83-9379-495639216C31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102B-4E83-9379-495639216C31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102B-4E83-9379-495639216C31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102B-4E83-9379-495639216C31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102B-4E83-9379-495639216C31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102B-4E83-9379-495639216C31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102B-4E83-9379-495639216C31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102B-4E83-9379-495639216C31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102B-4E83-9379-495639216C31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102B-4E83-9379-495639216C31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102B-4E83-9379-495639216C31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102B-4E83-9379-495639216C31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102B-4E83-9379-495639216C31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102B-4E83-9379-495639216C31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102B-4E83-9379-495639216C31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102B-4E83-9379-495639216C31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102B-4E83-9379-495639216C3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02B-4E83-9379-495639216C31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02B-4E83-9379-495639216C31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02B-4E83-9379-495639216C31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02B-4E83-9379-495639216C31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02B-4E83-9379-495639216C31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02B-4E83-9379-495639216C31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02B-4E83-9379-495639216C31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02B-4E83-9379-495639216C31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02B-4E83-9379-495639216C31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02B-4E83-9379-495639216C31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02B-4E83-9379-495639216C31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02B-4E83-9379-495639216C31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02B-4E83-9379-495639216C31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02B-4E83-9379-495639216C31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02B-4E83-9379-495639216C31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02B-4E83-9379-495639216C3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102B-4E83-9379-495639216C31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02B-4E83-9379-495639216C31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102B-4E83-9379-495639216C31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102B-4E83-9379-495639216C31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102B-4E83-9379-495639216C31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102B-4E83-9379-495639216C31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102B-4E83-9379-495639216C31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102B-4E83-9379-495639216C31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102B-4E83-9379-495639216C31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102B-4E83-9379-495639216C31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102B-4E83-9379-495639216C31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102B-4E83-9379-495639216C31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102B-4E83-9379-495639216C31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102B-4E83-9379-495639216C31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102B-4E83-9379-495639216C31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102B-4E83-9379-495639216C31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102B-4E83-9379-495639216C31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102B-4E83-9379-495639216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527-47F9-B1C8-B7E4981A9D25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27-47F9-B1C8-B7E4981A9D25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27-47F9-B1C8-B7E4981A9D25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27-47F9-B1C8-B7E4981A9D25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españoles x cate'!$B$8:$B$9,'distribución españoles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españoles x cate'!$O$8:$O$9,'distribución españoles x cate'!$O$11:$O$12)</c:f>
              <c:numCache>
                <c:formatCode>#,##0</c:formatCode>
                <c:ptCount val="2"/>
                <c:pt idx="0">
                  <c:v>21772</c:v>
                </c:pt>
                <c:pt idx="1">
                  <c:v>58204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27-47F9-B1C8-B7E4981A9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cate'!$B$3</c:f>
          <c:strCache>
            <c:ptCount val="1"/>
            <c:pt idx="0">
              <c:v>Viajeros españoles entrados en los hoteles y apartamentos de Arona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cate'!$G$5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españoles x cate'!$G$7:$G$10</c:f>
              <c:numCache>
                <c:formatCode>#,##0</c:formatCode>
                <c:ptCount val="4"/>
                <c:pt idx="0">
                  <c:v>81662</c:v>
                </c:pt>
                <c:pt idx="1">
                  <c:v>28199</c:v>
                </c:pt>
                <c:pt idx="2">
                  <c:v>53463</c:v>
                </c:pt>
                <c:pt idx="3">
                  <c:v>37825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E-4BB9-9675-012E71D68ABC}"/>
            </c:ext>
          </c:extLst>
        </c:ser>
        <c:ser>
          <c:idx val="1"/>
          <c:order val="1"/>
          <c:tx>
            <c:strRef>
              <c:f>'distribución españoles x cate'!$K$5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cate'!$K$7:$K$12</c:f>
              <c:numCache>
                <c:formatCode>#,##0</c:formatCode>
                <c:ptCount val="4"/>
                <c:pt idx="0">
                  <c:v>80779</c:v>
                </c:pt>
                <c:pt idx="1">
                  <c:v>31522</c:v>
                </c:pt>
                <c:pt idx="2">
                  <c:v>49257</c:v>
                </c:pt>
                <c:pt idx="3">
                  <c:v>33853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E-4BB9-9675-012E71D68ABC}"/>
            </c:ext>
          </c:extLst>
        </c:ser>
        <c:ser>
          <c:idx val="2"/>
          <c:order val="2"/>
          <c:tx>
            <c:strRef>
              <c:f>'distribución españoles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cate'!$O$7:$O$12</c:f>
              <c:numCache>
                <c:formatCode>#,##0</c:formatCode>
                <c:ptCount val="4"/>
                <c:pt idx="0">
                  <c:v>79976</c:v>
                </c:pt>
                <c:pt idx="1">
                  <c:v>21772</c:v>
                </c:pt>
                <c:pt idx="2">
                  <c:v>58204</c:v>
                </c:pt>
                <c:pt idx="3">
                  <c:v>38281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5E-4BB9-9675-012E71D68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cate'!$P$7:$P$12</c:f>
              <c:numCache>
                <c:formatCode>0.0%</c:formatCode>
                <c:ptCount val="4"/>
                <c:pt idx="0">
                  <c:v>-9.9407024102798891E-3</c:v>
                </c:pt>
                <c:pt idx="1">
                  <c:v>-0.30930778503902034</c:v>
                </c:pt>
                <c:pt idx="2">
                  <c:v>0.18163915788618867</c:v>
                </c:pt>
                <c:pt idx="3">
                  <c:v>0.1308008152896345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5E-4BB9-9675-012E71D68ABC}"/>
            </c:ext>
          </c:extLst>
        </c:ser>
        <c:ser>
          <c:idx val="6"/>
          <c:order val="4"/>
          <c:tx>
            <c:strRef>
              <c:f>'distribución españoles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cate'!$T$7:$T$12</c:f>
              <c:numCache>
                <c:formatCode>0.0%</c:formatCode>
                <c:ptCount val="4"/>
                <c:pt idx="0">
                  <c:v>0.67628977565810056</c:v>
                </c:pt>
                <c:pt idx="1">
                  <c:v>0.1841074946937602</c:v>
                </c:pt>
                <c:pt idx="2">
                  <c:v>0.49218228096434036</c:v>
                </c:pt>
                <c:pt idx="3">
                  <c:v>0.32371022434189944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5E-4BB9-9675-012E71D68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peninsulare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F54-4FB6-B8DD-A8052C40EE02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F54-4FB6-B8DD-A8052C40EE02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54-4FB6-B8DD-A8052C40EE02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54-4FB6-B8DD-A8052C40EE02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peninsulare x cate'!$B$8:$B$9,'distribución peninsulare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peninsulare x cate'!$O$8:$O$9,'distribución peninsulare x cate'!$O$11:$O$12)</c:f>
              <c:numCache>
                <c:formatCode>#,##0</c:formatCode>
                <c:ptCount val="2"/>
                <c:pt idx="0">
                  <c:v>9947</c:v>
                </c:pt>
                <c:pt idx="1">
                  <c:v>40190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54-4FB6-B8DD-A8052C40E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peninsulare x cate'!$B$3</c:f>
          <c:strCache>
            <c:ptCount val="1"/>
            <c:pt idx="0">
              <c:v>Viajeros peninsulares entrados en los hoteles y apartamentos de Arona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peninsulare x cate'!$G$5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peninsulare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peninsulare x cate'!$G$7:$G$10</c:f>
              <c:numCache>
                <c:formatCode>#,##0</c:formatCode>
                <c:ptCount val="4"/>
                <c:pt idx="0">
                  <c:v>52029</c:v>
                </c:pt>
                <c:pt idx="1">
                  <c:v>12582</c:v>
                </c:pt>
                <c:pt idx="2">
                  <c:v>39447</c:v>
                </c:pt>
                <c:pt idx="3">
                  <c:v>14848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1-45C0-9ADE-BBC9269B1914}"/>
            </c:ext>
          </c:extLst>
        </c:ser>
        <c:ser>
          <c:idx val="1"/>
          <c:order val="1"/>
          <c:tx>
            <c:strRef>
              <c:f>'distribución peninsulare x cate'!$K$5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cate'!$K$7:$K$12</c:f>
              <c:numCache>
                <c:formatCode>#,##0</c:formatCode>
                <c:ptCount val="4"/>
                <c:pt idx="0">
                  <c:v>49401</c:v>
                </c:pt>
                <c:pt idx="1">
                  <c:v>10231</c:v>
                </c:pt>
                <c:pt idx="2">
                  <c:v>39170</c:v>
                </c:pt>
                <c:pt idx="3">
                  <c:v>15009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1-45C0-9ADE-BBC9269B1914}"/>
            </c:ext>
          </c:extLst>
        </c:ser>
        <c:ser>
          <c:idx val="2"/>
          <c:order val="2"/>
          <c:tx>
            <c:strRef>
              <c:f>'distribución peninsulare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peninsulare x cate'!$O$7:$O$12</c:f>
              <c:numCache>
                <c:formatCode>#,##0</c:formatCode>
                <c:ptCount val="4"/>
                <c:pt idx="0">
                  <c:v>50137</c:v>
                </c:pt>
                <c:pt idx="1">
                  <c:v>9947</c:v>
                </c:pt>
                <c:pt idx="2">
                  <c:v>40190</c:v>
                </c:pt>
                <c:pt idx="3">
                  <c:v>16712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61-45C0-9ADE-BBC9269B1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peninsulare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cate'!$P$7:$P$12</c:f>
              <c:numCache>
                <c:formatCode>0.0%</c:formatCode>
                <c:ptCount val="4"/>
                <c:pt idx="0">
                  <c:v>1.48984838363595E-2</c:v>
                </c:pt>
                <c:pt idx="1">
                  <c:v>-2.7758772358518202E-2</c:v>
                </c:pt>
                <c:pt idx="2">
                  <c:v>2.6040336992596336E-2</c:v>
                </c:pt>
                <c:pt idx="3">
                  <c:v>0.11346525418082476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61-45C0-9ADE-BBC9269B1914}"/>
            </c:ext>
          </c:extLst>
        </c:ser>
        <c:ser>
          <c:idx val="6"/>
          <c:order val="4"/>
          <c:tx>
            <c:strRef>
              <c:f>'distribución peninsulare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peninsulare x cate'!$T$7:$T$12</c:f>
              <c:numCache>
                <c:formatCode>0.0%</c:formatCode>
                <c:ptCount val="4"/>
                <c:pt idx="0">
                  <c:v>0.7500037397717243</c:v>
                </c:pt>
                <c:pt idx="1">
                  <c:v>0.14879803736779906</c:v>
                </c:pt>
                <c:pt idx="2">
                  <c:v>0.60120570240392524</c:v>
                </c:pt>
                <c:pt idx="3">
                  <c:v>0.24999626022827567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61-45C0-9ADE-BBC9269B1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TF'!$I$161:$J$161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A6-490B-A2EB-9D4E5EEB02F2}"/>
              </c:ext>
            </c:extLst>
          </c:dPt>
          <c:val>
            <c:numRef>
              <c:f>'Viajeros entr evol mensu TF'!$I$163:$I$175</c:f>
              <c:numCache>
                <c:formatCode>#,##0</c:formatCode>
                <c:ptCount val="13"/>
                <c:pt idx="0">
                  <c:v>2209</c:v>
                </c:pt>
                <c:pt idx="1">
                  <c:v>2846</c:v>
                </c:pt>
                <c:pt idx="2">
                  <c:v>2344</c:v>
                </c:pt>
                <c:pt idx="3">
                  <c:v>3420</c:v>
                </c:pt>
                <c:pt idx="4">
                  <c:v>2278</c:v>
                </c:pt>
                <c:pt idx="5">
                  <c:v>1790</c:v>
                </c:pt>
                <c:pt idx="6">
                  <c:v>2033</c:v>
                </c:pt>
                <c:pt idx="7">
                  <c:v>2930</c:v>
                </c:pt>
                <c:pt idx="8">
                  <c:v>1975</c:v>
                </c:pt>
                <c:pt idx="9">
                  <c:v>2829</c:v>
                </c:pt>
                <c:pt idx="10">
                  <c:v>2171</c:v>
                </c:pt>
                <c:pt idx="11">
                  <c:v>2053</c:v>
                </c:pt>
                <c:pt idx="12">
                  <c:v>28878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A6-490B-A2EB-9D4E5EEB02F2}"/>
            </c:ext>
          </c:extLst>
        </c:ser>
        <c:ser>
          <c:idx val="0"/>
          <c:order val="2"/>
          <c:tx>
            <c:strRef>
              <c:f>'Viajeros entr evol mensu TF'!$K$161:$L$161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A6-490B-A2EB-9D4E5EEB02F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TF'!$K$163:$K$175</c:f>
              <c:numCache>
                <c:formatCode>#,##0</c:formatCode>
                <c:ptCount val="13"/>
                <c:pt idx="0">
                  <c:v>2149</c:v>
                </c:pt>
                <c:pt idx="1">
                  <c:v>2914</c:v>
                </c:pt>
                <c:pt idx="2">
                  <c:v>2307</c:v>
                </c:pt>
                <c:pt idx="3">
                  <c:v>3021</c:v>
                </c:pt>
                <c:pt idx="4">
                  <c:v>2217</c:v>
                </c:pt>
                <c:pt idx="5">
                  <c:v>2073</c:v>
                </c:pt>
                <c:pt idx="6">
                  <c:v>2235</c:v>
                </c:pt>
                <c:pt idx="7">
                  <c:v>3259</c:v>
                </c:pt>
                <c:pt idx="8">
                  <c:v>1850</c:v>
                </c:pt>
                <c:pt idx="9">
                  <c:v>2728</c:v>
                </c:pt>
                <c:pt idx="10">
                  <c:v>2133</c:v>
                </c:pt>
                <c:pt idx="11">
                  <c:v>2212</c:v>
                </c:pt>
                <c:pt idx="12">
                  <c:v>29098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A6-490B-A2EB-9D4E5EEB02F2}"/>
            </c:ext>
          </c:extLst>
        </c:ser>
        <c:ser>
          <c:idx val="1"/>
          <c:order val="3"/>
          <c:tx>
            <c:strRef>
              <c:f>'Viajeros entr evol mensu TF'!$M$161:$N$161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A6-490B-A2EB-9D4E5EEB02F2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A6-490B-A2EB-9D4E5EEB02F2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TF'!$M$163:$M$175</c:f>
              <c:numCache>
                <c:formatCode>#,##0</c:formatCode>
                <c:ptCount val="13"/>
                <c:pt idx="0">
                  <c:v>2358</c:v>
                </c:pt>
                <c:pt idx="1">
                  <c:v>3282</c:v>
                </c:pt>
                <c:pt idx="2">
                  <c:v>2669</c:v>
                </c:pt>
                <c:pt idx="3">
                  <c:v>2612</c:v>
                </c:pt>
                <c:pt idx="4">
                  <c:v>2424</c:v>
                </c:pt>
                <c:pt idx="5">
                  <c:v>2047</c:v>
                </c:pt>
                <c:pt idx="6">
                  <c:v>2708</c:v>
                </c:pt>
                <c:pt idx="7">
                  <c:v>3686</c:v>
                </c:pt>
                <c:pt idx="8">
                  <c:v>2168</c:v>
                </c:pt>
                <c:pt idx="9">
                  <c:v>3032</c:v>
                </c:pt>
                <c:pt idx="10">
                  <c:v>2683</c:v>
                </c:pt>
                <c:pt idx="11">
                  <c:v>2738</c:v>
                </c:pt>
                <c:pt idx="12">
                  <c:v>32407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FA6-490B-A2EB-9D4E5EEB0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TF'!$C$161:$D$161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9FA6-490B-A2EB-9D4E5EEB02F2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TF'!$C$163:$C$175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2336</c:v>
                      </c:pt>
                      <c:pt idx="1">
                        <c:v>2719</c:v>
                      </c:pt>
                      <c:pt idx="2">
                        <c:v>744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954</c:v>
                      </c:pt>
                      <c:pt idx="8">
                        <c:v>368</c:v>
                      </c:pt>
                      <c:pt idx="9">
                        <c:v>1343</c:v>
                      </c:pt>
                      <c:pt idx="10">
                        <c:v>230</c:v>
                      </c:pt>
                      <c:pt idx="11">
                        <c:v>723</c:v>
                      </c:pt>
                      <c:pt idx="12">
                        <c:v>9702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9FA6-490B-A2EB-9D4E5EEB02F2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TF'!$N$162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FA6-490B-A2EB-9D4E5EEB02F2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9FA6-490B-A2EB-9D4E5EEB02F2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9FA6-490B-A2EB-9D4E5EEB02F2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9FA6-490B-A2EB-9D4E5EEB02F2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9FA6-490B-A2EB-9D4E5EEB02F2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9FA6-490B-A2EB-9D4E5EEB02F2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9FA6-490B-A2EB-9D4E5EEB02F2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9FA6-490B-A2EB-9D4E5EEB02F2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FA6-490B-A2EB-9D4E5EEB02F2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9FA6-490B-A2EB-9D4E5EEB02F2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9FA6-490B-A2EB-9D4E5EEB02F2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FA6-490B-A2EB-9D4E5EEB02F2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FA6-490B-A2EB-9D4E5EEB02F2}"/>
              </c:ext>
            </c:extLst>
          </c:dPt>
          <c:cat>
            <c:strRef>
              <c:f>'Viajeros entr evol mensu TF'!$B$163:$B$174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TF'!$N$163:$N$175</c:f>
              <c:numCache>
                <c:formatCode>0.0%</c:formatCode>
                <c:ptCount val="13"/>
                <c:pt idx="0">
                  <c:v>9.7254536993950591E-2</c:v>
                </c:pt>
                <c:pt idx="1">
                  <c:v>0.12628689087165412</c:v>
                </c:pt>
                <c:pt idx="2">
                  <c:v>0.15691374078890341</c:v>
                </c:pt>
                <c:pt idx="3">
                  <c:v>-0.13538563389606095</c:v>
                </c:pt>
                <c:pt idx="4">
                  <c:v>9.3369418132611681E-2</c:v>
                </c:pt>
                <c:pt idx="5">
                  <c:v>-1.2542209358417766E-2</c:v>
                </c:pt>
                <c:pt idx="6">
                  <c:v>0.21163310961968684</c:v>
                </c:pt>
                <c:pt idx="7">
                  <c:v>0.13102178582387225</c:v>
                </c:pt>
                <c:pt idx="8">
                  <c:v>0.17189189189189191</c:v>
                </c:pt>
                <c:pt idx="9">
                  <c:v>0.11143695014662747</c:v>
                </c:pt>
                <c:pt idx="10">
                  <c:v>0.2578527894983591</c:v>
                </c:pt>
                <c:pt idx="11">
                  <c:v>0.23779385171790235</c:v>
                </c:pt>
                <c:pt idx="12">
                  <c:v>0.11371915595573578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FA6-490B-A2EB-9D4E5EEB0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1.9790128254955335E-2"/>
          <c:y val="0.11378641322422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7227838455676912"/>
          <c:y val="0.27985647838041661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canarios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DF-468F-A697-320E66D6A351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DF-468F-A697-320E66D6A351}"/>
              </c:ext>
            </c:extLst>
          </c:dPt>
          <c:dLbls>
            <c:dLbl>
              <c:idx val="0"/>
              <c:layout>
                <c:manualLayout>
                  <c:x val="5.8624923664234739E-2"/>
                  <c:y val="2.6266777414537038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DF-468F-A697-320E66D6A351}"/>
                </c:ext>
              </c:extLst>
            </c:dLbl>
            <c:dLbl>
              <c:idx val="1"/>
              <c:layout>
                <c:manualLayout>
                  <c:x val="-2.8012260925233727E-2"/>
                  <c:y val="-8.9147432115961704E-3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DF-468F-A697-320E66D6A351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('distribución canarios x cate'!$B$8:$B$9,'distribución canarios x cate'!$B$11:$B$12)</c:f>
              <c:strCache>
                <c:ptCount val="2"/>
                <c:pt idx="0">
                  <c:v>1, 2, 3 Estrellas</c:v>
                </c:pt>
                <c:pt idx="1">
                  <c:v>4, 5 Estrellas</c:v>
                </c:pt>
              </c:strCache>
            </c:strRef>
          </c:cat>
          <c:val>
            <c:numRef>
              <c:f>('distribución canarios x cate'!$O$8:$O$9,'distribución canarios x cate'!$O$11:$O$12)</c:f>
              <c:numCache>
                <c:formatCode>#,##0</c:formatCode>
                <c:ptCount val="2"/>
                <c:pt idx="0">
                  <c:v>11825</c:v>
                </c:pt>
                <c:pt idx="1">
                  <c:v>18014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DF-468F-A697-320E66D6A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canarios x cate'!$B$3</c:f>
          <c:strCache>
            <c:ptCount val="1"/>
            <c:pt idx="0">
              <c:v>Viajeros canarios entrados en los hoteles y apartamentos de Arona por tipología y categoría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551033901177778"/>
          <c:y val="0.19147788492398393"/>
          <c:w val="0.84489659872277323"/>
          <c:h val="0.4351614491351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canarios x cate'!$G$5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canarios x cate'!$B$7:$B$12</c:f>
              <c:strCache>
                <c:ptCount val="4"/>
                <c:pt idx="0">
                  <c:v>Hoteles</c:v>
                </c:pt>
                <c:pt idx="1">
                  <c:v>1, 2, 3 Estrellas</c:v>
                </c:pt>
                <c:pt idx="2">
                  <c:v>4, 5 Estrellas</c:v>
                </c:pt>
                <c:pt idx="3">
                  <c:v>Apartamentos</c:v>
                </c:pt>
              </c:strCache>
            </c:strRef>
          </c:cat>
          <c:val>
            <c:numRef>
              <c:f>'distribución canarios x cate'!$G$7:$G$10</c:f>
              <c:numCache>
                <c:formatCode>#,##0</c:formatCode>
                <c:ptCount val="4"/>
                <c:pt idx="0">
                  <c:v>29633</c:v>
                </c:pt>
                <c:pt idx="1">
                  <c:v>15617</c:v>
                </c:pt>
                <c:pt idx="2">
                  <c:v>14016</c:v>
                </c:pt>
                <c:pt idx="3">
                  <c:v>22977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0-49FC-B070-0778F04803F8}"/>
            </c:ext>
          </c:extLst>
        </c:ser>
        <c:ser>
          <c:idx val="1"/>
          <c:order val="1"/>
          <c:tx>
            <c:strRef>
              <c:f>'distribución canarios x cate'!$K$5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cate'!$K$7:$K$12</c:f>
              <c:numCache>
                <c:formatCode>#,##0</c:formatCode>
                <c:ptCount val="4"/>
                <c:pt idx="0">
                  <c:v>31378</c:v>
                </c:pt>
                <c:pt idx="1">
                  <c:v>21291</c:v>
                </c:pt>
                <c:pt idx="2">
                  <c:v>10087</c:v>
                </c:pt>
                <c:pt idx="3">
                  <c:v>18844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0-49FC-B070-0778F04803F8}"/>
            </c:ext>
          </c:extLst>
        </c:ser>
        <c:ser>
          <c:idx val="2"/>
          <c:order val="2"/>
          <c:tx>
            <c:strRef>
              <c:f>'distribución canarios x cate'!$O$5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canarios x cate'!$O$7:$O$12</c:f>
              <c:numCache>
                <c:formatCode>#,##0</c:formatCode>
                <c:ptCount val="4"/>
                <c:pt idx="0">
                  <c:v>29839</c:v>
                </c:pt>
                <c:pt idx="1">
                  <c:v>11825</c:v>
                </c:pt>
                <c:pt idx="2">
                  <c:v>18014</c:v>
                </c:pt>
                <c:pt idx="3">
                  <c:v>21569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50-49FC-B070-0778F0480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canarios x cate'!$P$5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cate'!$P$7:$P$12</c:f>
              <c:numCache>
                <c:formatCode>0.0%</c:formatCode>
                <c:ptCount val="4"/>
                <c:pt idx="0">
                  <c:v>-4.9047103065842257E-2</c:v>
                </c:pt>
                <c:pt idx="1">
                  <c:v>-0.44460100511953404</c:v>
                </c:pt>
                <c:pt idx="2">
                  <c:v>0.78586299196986209</c:v>
                </c:pt>
                <c:pt idx="3">
                  <c:v>0.14460836340479721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50-49FC-B070-0778F04803F8}"/>
            </c:ext>
          </c:extLst>
        </c:ser>
        <c:ser>
          <c:idx val="6"/>
          <c:order val="4"/>
          <c:tx>
            <c:strRef>
              <c:f>'distribución canarios x cate'!$T$5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canarios x cate'!$T$7:$T$12</c:f>
              <c:numCache>
                <c:formatCode>0.0%</c:formatCode>
                <c:ptCount val="4"/>
                <c:pt idx="0">
                  <c:v>0.58043495175848114</c:v>
                </c:pt>
                <c:pt idx="1">
                  <c:v>0.23002256458138812</c:v>
                </c:pt>
                <c:pt idx="2">
                  <c:v>0.35041238717709305</c:v>
                </c:pt>
                <c:pt idx="3">
                  <c:v>0.41956504824151886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50-49FC-B070-0778F0480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españoles x mun al'!$O$5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00-490E-89DA-793A2724F1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600-490E-89DA-793A2724F1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600-490E-89DA-793A2724F1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600-490E-89DA-793A2724F1D9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600-490E-89DA-793A2724F1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600-490E-89DA-793A2724F1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600-490E-89DA-793A2724F1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600-490E-89DA-793A2724F1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600-490E-89DA-793A2724F1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600-490E-89DA-793A2724F1D9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00-490E-89DA-793A2724F1D9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00-490E-89DA-793A2724F1D9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00-490E-89DA-793A2724F1D9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00-490E-89DA-793A2724F1D9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00-490E-89DA-793A2724F1D9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00-490E-89DA-793A2724F1D9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00-490E-89DA-793A2724F1D9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600-490E-89DA-793A2724F1D9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600-490E-89DA-793A2724F1D9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7600-490E-89DA-793A2724F1D9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147955</c:v>
                </c:pt>
                <c:pt idx="1">
                  <c:v>118257</c:v>
                </c:pt>
                <c:pt idx="2">
                  <c:v>10059</c:v>
                </c:pt>
                <c:pt idx="3">
                  <c:v>398420</c:v>
                </c:pt>
                <c:pt idx="4">
                  <c:v>52122</c:v>
                </c:pt>
                <c:pt idx="5">
                  <c:v>178403</c:v>
                </c:pt>
                <c:pt idx="6">
                  <c:v>35565</c:v>
                </c:pt>
                <c:pt idx="7">
                  <c:v>32990</c:v>
                </c:pt>
                <c:pt idx="8">
                  <c:v>42953</c:v>
                </c:pt>
                <c:pt idx="9">
                  <c:v>51683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600-490E-89DA-793A2724F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1E-49EB-9E1A-EAFA458645B0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1E-49EB-9E1A-EAFA458645B0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1E-49EB-9E1A-EAFA458645B0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1E-49EB-9E1A-EAFA458645B0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1E-49EB-9E1A-EAFA458645B0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1E-49EB-9E1A-EAFA458645B0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1E-49EB-9E1A-EAFA458645B0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1E-49EB-9E1A-EAFA458645B0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1E-49EB-9E1A-EAFA458645B0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1E-49EB-9E1A-EAFA458645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B41E-49EB-9E1A-EAFA458645B0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1E-49EB-9E1A-EAFA458645B0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1E-49EB-9E1A-EAFA458645B0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1E-49EB-9E1A-EAFA458645B0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1E-49EB-9E1A-EAFA458645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B41E-49EB-9E1A-EAFA458645B0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B41E-49EB-9E1A-EAFA458645B0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1E-49EB-9E1A-EAFA458645B0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41E-49EB-9E1A-EAFA458645B0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1E-49EB-9E1A-EAFA458645B0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1E-49EB-9E1A-EAFA458645B0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1E-49EB-9E1A-EAFA458645B0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41E-49EB-9E1A-EAFA458645B0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1E-49EB-9E1A-EAFA458645B0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41E-49EB-9E1A-EAFA458645B0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41E-49EB-9E1A-EAFA458645B0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41E-49EB-9E1A-EAFA458645B0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41E-49EB-9E1A-EAFA458645B0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41E-49EB-9E1A-EAFA458645B0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41E-49EB-9E1A-EAFA458645B0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41E-49EB-9E1A-EAFA458645B0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41E-49EB-9E1A-EAFA458645B0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41E-49EB-9E1A-EAFA458645B0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B41E-49EB-9E1A-EAFA458645B0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B41E-49EB-9E1A-EAFA458645B0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B41E-49EB-9E1A-EAFA458645B0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B41E-49EB-9E1A-EAFA458645B0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B41E-49EB-9E1A-EAFA458645B0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B41E-49EB-9E1A-EAFA458645B0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B41E-49EB-9E1A-EAFA458645B0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B41E-49EB-9E1A-EAFA458645B0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B41E-49EB-9E1A-EAFA458645B0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B41E-49EB-9E1A-EAFA458645B0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B41E-49EB-9E1A-EAFA458645B0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B41E-49EB-9E1A-EAFA458645B0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B41E-49EB-9E1A-EAFA458645B0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B41E-49EB-9E1A-EAFA458645B0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B41E-49EB-9E1A-EAFA458645B0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B41E-49EB-9E1A-EAFA458645B0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B41E-49EB-9E1A-EAFA458645B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41E-49EB-9E1A-EAFA458645B0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41E-49EB-9E1A-EAFA458645B0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41E-49EB-9E1A-EAFA458645B0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41E-49EB-9E1A-EAFA458645B0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41E-49EB-9E1A-EAFA458645B0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41E-49EB-9E1A-EAFA458645B0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41E-49EB-9E1A-EAFA458645B0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41E-49EB-9E1A-EAFA458645B0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41E-49EB-9E1A-EAFA458645B0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41E-49EB-9E1A-EAFA458645B0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41E-49EB-9E1A-EAFA458645B0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41E-49EB-9E1A-EAFA458645B0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41E-49EB-9E1A-EAFA458645B0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41E-49EB-9E1A-EAFA458645B0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41E-49EB-9E1A-EAFA458645B0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41E-49EB-9E1A-EAFA458645B0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B41E-49EB-9E1A-EAFA458645B0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41E-49EB-9E1A-EAFA458645B0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B41E-49EB-9E1A-EAFA458645B0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41E-49EB-9E1A-EAFA458645B0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B41E-49EB-9E1A-EAFA458645B0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B41E-49EB-9E1A-EAFA458645B0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B41E-49EB-9E1A-EAFA458645B0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B41E-49EB-9E1A-EAFA458645B0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B41E-49EB-9E1A-EAFA458645B0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B41E-49EB-9E1A-EAFA458645B0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B41E-49EB-9E1A-EAFA458645B0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B41E-49EB-9E1A-EAFA458645B0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B41E-49EB-9E1A-EAFA458645B0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B41E-49EB-9E1A-EAFA458645B0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B41E-49EB-9E1A-EAFA458645B0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B41E-49EB-9E1A-EAFA458645B0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B41E-49EB-9E1A-EAFA458645B0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B41E-49EB-9E1A-EAFA45864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españoles x mun al'!$B$3</c:f>
          <c:strCache>
            <c:ptCount val="1"/>
            <c:pt idx="0">
              <c:v>Viajeros españoles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españoles x mun al'!$G$5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españoles x mun al'!$B$7:$B$16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españoles x mun al'!$G$7:$G$16</c:f>
              <c:numCache>
                <c:formatCode>#,##0</c:formatCode>
                <c:ptCount val="10"/>
                <c:pt idx="0">
                  <c:v>181700</c:v>
                </c:pt>
                <c:pt idx="1">
                  <c:v>119487</c:v>
                </c:pt>
                <c:pt idx="2">
                  <c:v>20295</c:v>
                </c:pt>
                <c:pt idx="3">
                  <c:v>343297</c:v>
                </c:pt>
                <c:pt idx="4">
                  <c:v>55684</c:v>
                </c:pt>
                <c:pt idx="5">
                  <c:v>147214</c:v>
                </c:pt>
                <c:pt idx="6">
                  <c:v>37722</c:v>
                </c:pt>
                <c:pt idx="7">
                  <c:v>33671</c:v>
                </c:pt>
                <c:pt idx="8">
                  <c:v>43847</c:v>
                </c:pt>
                <c:pt idx="9">
                  <c:v>59804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4-4A86-B4C3-F5C291CC2C2E}"/>
            </c:ext>
          </c:extLst>
        </c:ser>
        <c:ser>
          <c:idx val="1"/>
          <c:order val="1"/>
          <c:tx>
            <c:strRef>
              <c:f>'distribución españoles x mun al'!$K$5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al'!$K$7:$K$16</c:f>
              <c:numCache>
                <c:formatCode>#,##0</c:formatCode>
                <c:ptCount val="10"/>
                <c:pt idx="0">
                  <c:v>161848</c:v>
                </c:pt>
                <c:pt idx="1">
                  <c:v>114632</c:v>
                </c:pt>
                <c:pt idx="2">
                  <c:v>11990</c:v>
                </c:pt>
                <c:pt idx="3">
                  <c:v>382439</c:v>
                </c:pt>
                <c:pt idx="4">
                  <c:v>49807</c:v>
                </c:pt>
                <c:pt idx="5">
                  <c:v>155988</c:v>
                </c:pt>
                <c:pt idx="6">
                  <c:v>35821</c:v>
                </c:pt>
                <c:pt idx="7">
                  <c:v>29209</c:v>
                </c:pt>
                <c:pt idx="8">
                  <c:v>61312</c:v>
                </c:pt>
                <c:pt idx="9">
                  <c:v>55988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E4-4A86-B4C3-F5C291CC2C2E}"/>
            </c:ext>
          </c:extLst>
        </c:ser>
        <c:ser>
          <c:idx val="2"/>
          <c:order val="2"/>
          <c:tx>
            <c:strRef>
              <c:f>'distribución españoles x mun al'!$O$5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españoles x mun al'!$O$7:$O$16</c:f>
              <c:numCache>
                <c:formatCode>#,##0</c:formatCode>
                <c:ptCount val="10"/>
                <c:pt idx="0">
                  <c:v>147955</c:v>
                </c:pt>
                <c:pt idx="1">
                  <c:v>118257</c:v>
                </c:pt>
                <c:pt idx="2">
                  <c:v>10059</c:v>
                </c:pt>
                <c:pt idx="3">
                  <c:v>398420</c:v>
                </c:pt>
                <c:pt idx="4">
                  <c:v>52122</c:v>
                </c:pt>
                <c:pt idx="5">
                  <c:v>178403</c:v>
                </c:pt>
                <c:pt idx="6">
                  <c:v>35565</c:v>
                </c:pt>
                <c:pt idx="7">
                  <c:v>32990</c:v>
                </c:pt>
                <c:pt idx="8">
                  <c:v>42953</c:v>
                </c:pt>
                <c:pt idx="9">
                  <c:v>51683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E4-4A86-B4C3-F5C291CC2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españoles x mun al'!$P$5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al'!$P$7:$P$16</c:f>
              <c:numCache>
                <c:formatCode>0.0%</c:formatCode>
                <c:ptCount val="10"/>
                <c:pt idx="0">
                  <c:v>-8.5839800306460434E-2</c:v>
                </c:pt>
                <c:pt idx="1">
                  <c:v>3.1622932514481228E-2</c:v>
                </c:pt>
                <c:pt idx="2">
                  <c:v>-0.16105087572977483</c:v>
                </c:pt>
                <c:pt idx="3">
                  <c:v>4.1787056236419318E-2</c:v>
                </c:pt>
                <c:pt idx="4">
                  <c:v>4.647941052462512E-2</c:v>
                </c:pt>
                <c:pt idx="5">
                  <c:v>0.14369695104751656</c:v>
                </c:pt>
                <c:pt idx="6">
                  <c:v>-7.146645822282971E-3</c:v>
                </c:pt>
                <c:pt idx="7">
                  <c:v>0.12944640350576875</c:v>
                </c:pt>
                <c:pt idx="8">
                  <c:v>-0.29943567327766174</c:v>
                </c:pt>
                <c:pt idx="9">
                  <c:v>-7.689147674501684E-2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E4-4A86-B4C3-F5C291CC2C2E}"/>
            </c:ext>
          </c:extLst>
        </c:ser>
        <c:ser>
          <c:idx val="6"/>
          <c:order val="4"/>
          <c:tx>
            <c:strRef>
              <c:f>'distribución españoles x mun al'!$T$5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españoles x mun al'!$T$7:$T$16</c:f>
              <c:numCache>
                <c:formatCode>0.0%</c:formatCode>
                <c:ptCount val="10"/>
                <c:pt idx="0">
                  <c:v>0.13848187067288029</c:v>
                </c:pt>
                <c:pt idx="1">
                  <c:v>0.11068534743782098</c:v>
                </c:pt>
                <c:pt idx="2">
                  <c:v>9.4149514183265361E-3</c:v>
                </c:pt>
                <c:pt idx="3">
                  <c:v>0.372910323500314</c:v>
                </c:pt>
                <c:pt idx="4">
                  <c:v>4.8784779583061509E-2</c:v>
                </c:pt>
                <c:pt idx="5">
                  <c:v>0.16698037358422399</c:v>
                </c:pt>
                <c:pt idx="6">
                  <c:v>3.3287876249406829E-2</c:v>
                </c:pt>
                <c:pt idx="7">
                  <c:v>3.0877746027497013E-2</c:v>
                </c:pt>
                <c:pt idx="8">
                  <c:v>4.0202844047259143E-2</c:v>
                </c:pt>
                <c:pt idx="9">
                  <c:v>4.8373887479209704E-2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E4-4A86-B4C3-F5C291CC2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peninsula x munici'!$O$5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2F-4B37-8BF2-448309A09F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2F-4B37-8BF2-448309A09F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2F-4B37-8BF2-448309A09F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2F-4B37-8BF2-448309A09F1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2F-4B37-8BF2-448309A09F1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42F-4B37-8BF2-448309A09F1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2F-4B37-8BF2-448309A09F1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42F-4B37-8BF2-448309A09F1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42F-4B37-8BF2-448309A09F1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42F-4B37-8BF2-448309A09F10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2F-4B37-8BF2-448309A09F10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2F-4B37-8BF2-448309A09F10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2F-4B37-8BF2-448309A09F10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2F-4B37-8BF2-448309A09F10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2F-4B37-8BF2-448309A09F10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2F-4B37-8BF2-448309A09F10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2F-4B37-8BF2-448309A09F10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2F-4B37-8BF2-448309A09F10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42F-4B37-8BF2-448309A09F10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342F-4B37-8BF2-448309A09F10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80536</c:v>
                </c:pt>
                <c:pt idx="1">
                  <c:v>66849</c:v>
                </c:pt>
                <c:pt idx="2">
                  <c:v>4151</c:v>
                </c:pt>
                <c:pt idx="3">
                  <c:v>294370</c:v>
                </c:pt>
                <c:pt idx="4">
                  <c:v>31636</c:v>
                </c:pt>
                <c:pt idx="5">
                  <c:v>84941</c:v>
                </c:pt>
                <c:pt idx="6">
                  <c:v>21878</c:v>
                </c:pt>
                <c:pt idx="7">
                  <c:v>13384</c:v>
                </c:pt>
                <c:pt idx="8">
                  <c:v>26454</c:v>
                </c:pt>
                <c:pt idx="9">
                  <c:v>20048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42F-4B37-8BF2-448309A09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79-46CC-890C-DB20F8E72B42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79-46CC-890C-DB20F8E72B42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79-46CC-890C-DB20F8E72B42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79-46CC-890C-DB20F8E72B42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79-46CC-890C-DB20F8E72B42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79-46CC-890C-DB20F8E72B42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79-46CC-890C-DB20F8E72B42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79-46CC-890C-DB20F8E72B42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79-46CC-890C-DB20F8E72B42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79-46CC-890C-DB20F8E72B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2679-46CC-890C-DB20F8E72B42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79-46CC-890C-DB20F8E72B42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79-46CC-890C-DB20F8E72B42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79-46CC-890C-DB20F8E72B42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79-46CC-890C-DB20F8E72B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2679-46CC-890C-DB20F8E72B42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2679-46CC-890C-DB20F8E72B42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79-46CC-890C-DB20F8E72B42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79-46CC-890C-DB20F8E72B42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79-46CC-890C-DB20F8E72B42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679-46CC-890C-DB20F8E72B42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679-46CC-890C-DB20F8E72B42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679-46CC-890C-DB20F8E72B42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679-46CC-890C-DB20F8E72B42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679-46CC-890C-DB20F8E72B42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679-46CC-890C-DB20F8E72B42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679-46CC-890C-DB20F8E72B42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679-46CC-890C-DB20F8E72B42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679-46CC-890C-DB20F8E72B42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679-46CC-890C-DB20F8E72B42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679-46CC-890C-DB20F8E72B42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679-46CC-890C-DB20F8E72B42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679-46CC-890C-DB20F8E72B4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2679-46CC-890C-DB20F8E72B42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2679-46CC-890C-DB20F8E72B42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2679-46CC-890C-DB20F8E72B42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2679-46CC-890C-DB20F8E72B42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2679-46CC-890C-DB20F8E72B42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2679-46CC-890C-DB20F8E72B42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2679-46CC-890C-DB20F8E72B42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2679-46CC-890C-DB20F8E72B42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2679-46CC-890C-DB20F8E72B42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2679-46CC-890C-DB20F8E72B42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2679-46CC-890C-DB20F8E72B42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2679-46CC-890C-DB20F8E72B42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2679-46CC-890C-DB20F8E72B42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2679-46CC-890C-DB20F8E72B42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2679-46CC-890C-DB20F8E72B42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2679-46CC-890C-DB20F8E72B42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2679-46CC-890C-DB20F8E72B4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679-46CC-890C-DB20F8E72B42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679-46CC-890C-DB20F8E72B42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679-46CC-890C-DB20F8E72B42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679-46CC-890C-DB20F8E72B42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679-46CC-890C-DB20F8E72B42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679-46CC-890C-DB20F8E72B42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679-46CC-890C-DB20F8E72B42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679-46CC-890C-DB20F8E72B42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679-46CC-890C-DB20F8E72B42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679-46CC-890C-DB20F8E72B42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679-46CC-890C-DB20F8E72B42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679-46CC-890C-DB20F8E72B42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679-46CC-890C-DB20F8E72B42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679-46CC-890C-DB20F8E72B42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679-46CC-890C-DB20F8E72B42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679-46CC-890C-DB20F8E72B4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2679-46CC-890C-DB20F8E72B42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679-46CC-890C-DB20F8E72B42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679-46CC-890C-DB20F8E72B42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679-46CC-890C-DB20F8E72B42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679-46CC-890C-DB20F8E72B42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679-46CC-890C-DB20F8E72B42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679-46CC-890C-DB20F8E72B42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679-46CC-890C-DB20F8E72B42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679-46CC-890C-DB20F8E72B42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679-46CC-890C-DB20F8E72B42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679-46CC-890C-DB20F8E72B42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679-46CC-890C-DB20F8E72B42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679-46CC-890C-DB20F8E72B42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679-46CC-890C-DB20F8E72B42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2679-46CC-890C-DB20F8E72B42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679-46CC-890C-DB20F8E72B42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679-46CC-890C-DB20F8E72B42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2679-46CC-890C-DB20F8E72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peninsula x munici'!$B$3</c:f>
          <c:strCache>
            <c:ptCount val="1"/>
            <c:pt idx="0">
              <c:v>Viajeros peninsulares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peninsula x munici'!$G$5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peninsula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peninsula x munici'!$G$7:$G$16</c:f>
              <c:numCache>
                <c:formatCode>#,##0</c:formatCode>
                <c:ptCount val="10"/>
                <c:pt idx="0">
                  <c:v>106339</c:v>
                </c:pt>
                <c:pt idx="1">
                  <c:v>66877</c:v>
                </c:pt>
                <c:pt idx="2">
                  <c:v>5439</c:v>
                </c:pt>
                <c:pt idx="3">
                  <c:v>250432</c:v>
                </c:pt>
                <c:pt idx="4">
                  <c:v>36164</c:v>
                </c:pt>
                <c:pt idx="5">
                  <c:v>80189</c:v>
                </c:pt>
                <c:pt idx="6">
                  <c:v>25698</c:v>
                </c:pt>
                <c:pt idx="7">
                  <c:v>11319</c:v>
                </c:pt>
                <c:pt idx="8">
                  <c:v>14448</c:v>
                </c:pt>
                <c:pt idx="9">
                  <c:v>15497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8E-492A-9199-5405E7615240}"/>
            </c:ext>
          </c:extLst>
        </c:ser>
        <c:ser>
          <c:idx val="1"/>
          <c:order val="1"/>
          <c:tx>
            <c:strRef>
              <c:f>'distribución peninsula x munici'!$K$5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munici'!$K$7:$K$16</c:f>
              <c:numCache>
                <c:formatCode>#,##0</c:formatCode>
                <c:ptCount val="10"/>
                <c:pt idx="0">
                  <c:v>101169</c:v>
                </c:pt>
                <c:pt idx="1">
                  <c:v>64410</c:v>
                </c:pt>
                <c:pt idx="2">
                  <c:v>4225</c:v>
                </c:pt>
                <c:pt idx="3">
                  <c:v>276037</c:v>
                </c:pt>
                <c:pt idx="4">
                  <c:v>33708</c:v>
                </c:pt>
                <c:pt idx="5">
                  <c:v>80800</c:v>
                </c:pt>
                <c:pt idx="6">
                  <c:v>23944</c:v>
                </c:pt>
                <c:pt idx="7">
                  <c:v>10833</c:v>
                </c:pt>
                <c:pt idx="8">
                  <c:v>23750</c:v>
                </c:pt>
                <c:pt idx="9">
                  <c:v>18134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8E-492A-9199-5405E7615240}"/>
            </c:ext>
          </c:extLst>
        </c:ser>
        <c:ser>
          <c:idx val="2"/>
          <c:order val="2"/>
          <c:tx>
            <c:strRef>
              <c:f>'distribución peninsula x munici'!$O$5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peninsula x munici'!$O$7:$O$16</c:f>
              <c:numCache>
                <c:formatCode>#,##0</c:formatCode>
                <c:ptCount val="10"/>
                <c:pt idx="0">
                  <c:v>80536</c:v>
                </c:pt>
                <c:pt idx="1">
                  <c:v>66849</c:v>
                </c:pt>
                <c:pt idx="2">
                  <c:v>4151</c:v>
                </c:pt>
                <c:pt idx="3">
                  <c:v>294370</c:v>
                </c:pt>
                <c:pt idx="4">
                  <c:v>31636</c:v>
                </c:pt>
                <c:pt idx="5">
                  <c:v>84941</c:v>
                </c:pt>
                <c:pt idx="6">
                  <c:v>21878</c:v>
                </c:pt>
                <c:pt idx="7">
                  <c:v>13384</c:v>
                </c:pt>
                <c:pt idx="8">
                  <c:v>26454</c:v>
                </c:pt>
                <c:pt idx="9">
                  <c:v>20048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8E-492A-9199-5405E7615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peninsula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munici'!$P$7:$P$16</c:f>
              <c:numCache>
                <c:formatCode>0.0%</c:formatCode>
                <c:ptCount val="10"/>
                <c:pt idx="0">
                  <c:v>-0.2039458727475808</c:v>
                </c:pt>
                <c:pt idx="1">
                  <c:v>3.7866790870982658E-2</c:v>
                </c:pt>
                <c:pt idx="2">
                  <c:v>-1.7514792899408271E-2</c:v>
                </c:pt>
                <c:pt idx="3">
                  <c:v>6.6415009582048823E-2</c:v>
                </c:pt>
                <c:pt idx="4">
                  <c:v>-6.146908745698354E-2</c:v>
                </c:pt>
                <c:pt idx="5">
                  <c:v>5.1250000000000018E-2</c:v>
                </c:pt>
                <c:pt idx="6">
                  <c:v>-8.6284664216505158E-2</c:v>
                </c:pt>
                <c:pt idx="7">
                  <c:v>0.23548416874365374</c:v>
                </c:pt>
                <c:pt idx="8">
                  <c:v>0.11385263157894743</c:v>
                </c:pt>
                <c:pt idx="9">
                  <c:v>0.10554759016212634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8E-492A-9199-5405E7615240}"/>
            </c:ext>
          </c:extLst>
        </c:ser>
        <c:ser>
          <c:idx val="6"/>
          <c:order val="4"/>
          <c:tx>
            <c:strRef>
              <c:f>'distribución peninsula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peninsula x munici'!$T$7:$T$16</c:f>
              <c:numCache>
                <c:formatCode>0.0%</c:formatCode>
                <c:ptCount val="10"/>
                <c:pt idx="0">
                  <c:v>0.12500795502346149</c:v>
                </c:pt>
                <c:pt idx="1">
                  <c:v>0.10376299773223624</c:v>
                </c:pt>
                <c:pt idx="2">
                  <c:v>6.4431809538888036E-3</c:v>
                </c:pt>
                <c:pt idx="3">
                  <c:v>0.45692102563147363</c:v>
                </c:pt>
                <c:pt idx="4">
                  <c:v>4.910538970301763E-2</c:v>
                </c:pt>
                <c:pt idx="5">
                  <c:v>0.13184539470110065</c:v>
                </c:pt>
                <c:pt idx="6">
                  <c:v>3.3959025032324557E-2</c:v>
                </c:pt>
                <c:pt idx="7">
                  <c:v>2.0774640782184474E-2</c:v>
                </c:pt>
                <c:pt idx="8">
                  <c:v>4.1061890858630309E-2</c:v>
                </c:pt>
                <c:pt idx="9">
                  <c:v>3.1118499581682182E-2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8E-492A-9199-5405E7615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munici'!$O$5</c:f>
          <c:strCache>
            <c:ptCount val="1"/>
            <c:pt idx="0">
              <c:v>acumulado diciembre 2025</c:v>
            </c:pt>
          </c:strCache>
        </c:strRef>
      </c:tx>
      <c:layout>
        <c:manualLayout>
          <c:xMode val="edge"/>
          <c:yMode val="edge"/>
          <c:x val="0.86451594650205765"/>
          <c:y val="8.9990998963746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3757176234101782"/>
          <c:y val="0.190608507035707"/>
          <c:w val="0.37144032921810699"/>
          <c:h val="0.65540856384306434"/>
        </c:manualLayout>
      </c:layout>
      <c:pieChart>
        <c:varyColors val="1"/>
        <c:ser>
          <c:idx val="0"/>
          <c:order val="0"/>
          <c:tx>
            <c:strRef>
              <c:f>'distribución canarias x munici'!$O$5</c:f>
              <c:strCache>
                <c:ptCount val="1"/>
                <c:pt idx="0">
                  <c:v>acumulado diciembre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19-463C-BC0D-7AD5979A52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819-463C-BC0D-7AD5979A52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819-463C-BC0D-7AD5979A52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819-463C-BC0D-7AD5979A52F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819-463C-BC0D-7AD5979A52F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819-463C-BC0D-7AD5979A52F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819-463C-BC0D-7AD5979A52F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819-463C-BC0D-7AD5979A52F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819-463C-BC0D-7AD5979A52F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819-463C-BC0D-7AD5979A52F2}"/>
              </c:ext>
            </c:extLst>
          </c:dPt>
          <c:dLbls>
            <c:dLbl>
              <c:idx val="0"/>
              <c:layout>
                <c:manualLayout>
                  <c:x val="-7.5339122360884497E-2"/>
                  <c:y val="4.59714145008051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19-463C-BC0D-7AD5979A52F2}"/>
                </c:ext>
              </c:extLst>
            </c:dLbl>
            <c:dLbl>
              <c:idx val="1"/>
              <c:layout>
                <c:manualLayout>
                  <c:x val="-9.3387190520987984E-2"/>
                  <c:y val="4.81960591187521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19-463C-BC0D-7AD5979A52F2}"/>
                </c:ext>
              </c:extLst>
            </c:dLbl>
            <c:dLbl>
              <c:idx val="2"/>
              <c:layout>
                <c:manualLayout>
                  <c:x val="-0.11098057931923191"/>
                  <c:y val="1.177616325717542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19-463C-BC0D-7AD5979A52F2}"/>
                </c:ext>
              </c:extLst>
            </c:dLbl>
            <c:dLbl>
              <c:idx val="3"/>
              <c:layout>
                <c:manualLayout>
                  <c:x val="-0.13331713361065792"/>
                  <c:y val="1.20034749697046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19-463C-BC0D-7AD5979A52F2}"/>
                </c:ext>
              </c:extLst>
            </c:dLbl>
            <c:dLbl>
              <c:idx val="4"/>
              <c:layout>
                <c:manualLayout>
                  <c:x val="1.1125366254599619E-2"/>
                  <c:y val="-4.838153839343518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19-463C-BC0D-7AD5979A52F2}"/>
                </c:ext>
              </c:extLst>
            </c:dLbl>
            <c:dLbl>
              <c:idx val="5"/>
              <c:layout>
                <c:manualLayout>
                  <c:x val="4.6608807014449298E-2"/>
                  <c:y val="-6.1533081379585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19-463C-BC0D-7AD5979A52F2}"/>
                </c:ext>
              </c:extLst>
            </c:dLbl>
            <c:dLbl>
              <c:idx val="6"/>
              <c:layout>
                <c:manualLayout>
                  <c:x val="9.1737743332696367E-2"/>
                  <c:y val="-0.1007623906463554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819-463C-BC0D-7AD5979A52F2}"/>
                </c:ext>
              </c:extLst>
            </c:dLbl>
            <c:dLbl>
              <c:idx val="7"/>
              <c:layout>
                <c:manualLayout>
                  <c:x val="0.12098099885836359"/>
                  <c:y val="-1.92199025016461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819-463C-BC0D-7AD5979A52F2}"/>
                </c:ext>
              </c:extLst>
            </c:dLbl>
            <c:dLbl>
              <c:idx val="8"/>
              <c:layout>
                <c:manualLayout>
                  <c:x val="0.16659745802158807"/>
                  <c:y val="3.23181035961509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819-463C-BC0D-7AD5979A52F2}"/>
                </c:ext>
              </c:extLst>
            </c:dLbl>
            <c:dLbl>
              <c:idx val="9"/>
              <c:layout>
                <c:manualLayout>
                  <c:x val="-5.8337222491707218E-2"/>
                  <c:y val="1.835979216582467E-2"/>
                </c:manualLayout>
              </c:layout>
              <c:numFmt formatCode="0.0%" sourceLinked="0"/>
              <c:spPr>
                <a:noFill/>
                <a:ln w="3175"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008261552331535"/>
                      <c:h val="0.165144061841180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C819-463C-BC0D-7AD5979A52F2}"/>
                </c:ext>
              </c:extLst>
            </c:dLbl>
            <c:numFmt formatCode="0.0%" sourceLinked="0"/>
            <c:spPr>
              <a:noFill/>
              <a:ln w="3175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67419</c:v>
                </c:pt>
                <c:pt idx="1">
                  <c:v>51408</c:v>
                </c:pt>
                <c:pt idx="2">
                  <c:v>5908</c:v>
                </c:pt>
                <c:pt idx="3">
                  <c:v>104050</c:v>
                </c:pt>
                <c:pt idx="4">
                  <c:v>20486</c:v>
                </c:pt>
                <c:pt idx="5">
                  <c:v>93462</c:v>
                </c:pt>
                <c:pt idx="6">
                  <c:v>13687</c:v>
                </c:pt>
                <c:pt idx="7">
                  <c:v>19606</c:v>
                </c:pt>
                <c:pt idx="8">
                  <c:v>16499</c:v>
                </c:pt>
                <c:pt idx="9">
                  <c:v>31635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819-463C-BC0D-7AD5979A5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8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r>
              <a:rPr lang="es-ES"/>
              <a:t>Evolución de los turistas españoles según lugar de residencia</a:t>
            </a:r>
          </a:p>
        </c:rich>
      </c:tx>
      <c:layout>
        <c:manualLayout>
          <c:xMode val="edge"/>
          <c:yMode val="edge"/>
          <c:x val="7.1780789620584087E-3"/>
          <c:y val="2.604166666666666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59838895281933E-3"/>
          <c:y val="0.17594611220472442"/>
          <c:w val="0.99024733530863318"/>
          <c:h val="0.7776484580052494"/>
        </c:manualLayout>
      </c:layout>
      <c:lineChart>
        <c:grouping val="standard"/>
        <c:varyColors val="0"/>
        <c:ser>
          <c:idx val="4"/>
          <c:order val="0"/>
          <c:tx>
            <c:v>España</c:v>
          </c:tx>
          <c:spPr>
            <a:ln w="19050">
              <a:solidFill>
                <a:schemeClr val="accent6">
                  <a:lumMod val="50000"/>
                </a:schemeClr>
              </a:solidFill>
            </a:ln>
          </c:spPr>
          <c:marker>
            <c:symbol val="star"/>
            <c:size val="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5.3678618135909101E-2"/>
                  <c:y val="-4.772125164041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3E-449D-93CC-7CE58AAAA65E}"/>
                </c:ext>
              </c:extLst>
            </c:dLbl>
            <c:dLbl>
              <c:idx val="4"/>
              <c:layout>
                <c:manualLayout>
                  <c:x val="-5.214428748765438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3E-449D-93CC-7CE58AAAA65E}"/>
                </c:ext>
              </c:extLst>
            </c:dLbl>
            <c:dLbl>
              <c:idx val="5"/>
              <c:layout>
                <c:manualLayout>
                  <c:x val="-4.6006964894635578E-2"/>
                  <c:y val="-4.25129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3E-449D-93CC-7CE58AAAA65E}"/>
                </c:ext>
              </c:extLst>
            </c:dLbl>
            <c:dLbl>
              <c:idx val="6"/>
              <c:layout>
                <c:manualLayout>
                  <c:x val="-4.2938303598126185E-2"/>
                  <c:y val="-3.99087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3E-449D-93CC-7CE58AAAA65E}"/>
                </c:ext>
              </c:extLst>
            </c:dLbl>
            <c:dLbl>
              <c:idx val="7"/>
              <c:layout>
                <c:manualLayout>
                  <c:x val="-3.373231970859799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3E-449D-93CC-7CE58AAAA65E}"/>
                </c:ext>
              </c:extLst>
            </c:dLbl>
            <c:dLbl>
              <c:idx val="8"/>
              <c:layout>
                <c:manualLayout>
                  <c:x val="-5.0609956839399679E-2"/>
                  <c:y val="-4.7721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3E-449D-93CC-7CE58AAAA65E}"/>
                </c:ext>
              </c:extLst>
            </c:dLbl>
            <c:dLbl>
              <c:idx val="9"/>
              <c:layout>
                <c:manualLayout>
                  <c:x val="-5.8281610080673174E-2"/>
                  <c:y val="-3.20962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3E-449D-93CC-7CE58AAAA65E}"/>
                </c:ext>
              </c:extLst>
            </c:dLbl>
            <c:dLbl>
              <c:idx val="10"/>
              <c:layout>
                <c:manualLayout>
                  <c:x val="-5.0609956839399679E-2"/>
                  <c:y val="-3.2096251640419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3E-449D-93CC-7CE58AAAA65E}"/>
                </c:ext>
              </c:extLst>
            </c:dLbl>
            <c:dLbl>
              <c:idx val="11"/>
              <c:layout>
                <c:manualLayout>
                  <c:x val="-4.3046860715444391E-2"/>
                  <c:y val="-3.470041830708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3E-449D-93CC-7CE58AAAA65E}"/>
                </c:ext>
              </c:extLst>
            </c:dLbl>
            <c:dLbl>
              <c:idx val="12"/>
              <c:layout>
                <c:manualLayout>
                  <c:x val="-4.756425009589578E-2"/>
                  <c:y val="-5.5533751640419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3E-449D-93CC-7CE58AAAA6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1245831</c:v>
              </c:pt>
              <c:pt idx="1">
                <c:v>1371788</c:v>
              </c:pt>
              <c:pt idx="2">
                <c:v>1459717</c:v>
              </c:pt>
              <c:pt idx="3">
                <c:v>1563829</c:v>
              </c:pt>
              <c:pt idx="4">
                <c:v>1552207</c:v>
              </c:pt>
              <c:pt idx="5">
                <c:v>1560633</c:v>
              </c:pt>
              <c:pt idx="6">
                <c:v>1450144</c:v>
              </c:pt>
              <c:pt idx="7">
                <c:v>1466184</c:v>
              </c:pt>
              <c:pt idx="8">
                <c:v>1302302</c:v>
              </c:pt>
              <c:pt idx="9">
                <c:v>1185008</c:v>
              </c:pt>
              <c:pt idx="10">
                <c:v>1161922</c:v>
              </c:pt>
              <c:pt idx="11">
                <c:v>1154877</c:v>
              </c:pt>
              <c:pt idx="12">
                <c:v>1197223</c:v>
              </c:pt>
              <c:pt idx="13">
                <c:v>1169226</c:v>
              </c:pt>
              <c:pt idx="14">
                <c:v>1213803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6E3E-449D-93CC-7CE58AAAA65E}"/>
            </c:ext>
          </c:extLst>
        </c:ser>
        <c:ser>
          <c:idx val="2"/>
          <c:order val="1"/>
          <c:tx>
            <c:v>Península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4.6955085670470992E-2"/>
                  <c:y val="-3.73045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3E-449D-93CC-7CE58AAAA65E}"/>
                </c:ext>
              </c:extLst>
            </c:dLbl>
            <c:dLbl>
              <c:idx val="3"/>
              <c:layout>
                <c:manualLayout>
                  <c:x val="-5.2412044000117966E-2"/>
                  <c:y val="-4.51170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E3E-449D-93CC-7CE58AAAA65E}"/>
                </c:ext>
              </c:extLst>
            </c:dLbl>
            <c:dLbl>
              <c:idx val="4"/>
              <c:layout>
                <c:manualLayout>
                  <c:x val="-4.7917661977646055E-2"/>
                  <c:y val="-2.9492084973753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3E-449D-93CC-7CE58AAAA65E}"/>
                </c:ext>
              </c:extLst>
            </c:dLbl>
            <c:dLbl>
              <c:idx val="5"/>
              <c:layout>
                <c:manualLayout>
                  <c:x val="-4.4921407295998167E-2"/>
                  <c:y val="-5.2929584973753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3E-449D-93CC-7CE58AAAA6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835494.10694093152</c:v>
              </c:pt>
              <c:pt idx="1">
                <c:v>934060.2740821382</c:v>
              </c:pt>
              <c:pt idx="2">
                <c:v>991891.91957325314</c:v>
              </c:pt>
              <c:pt idx="3">
                <c:v>1012310.1198606625</c:v>
              </c:pt>
              <c:pt idx="4">
                <c:v>1010234.1976024332</c:v>
              </c:pt>
              <c:pt idx="5">
                <c:v>1045110.5088730652</c:v>
              </c:pt>
              <c:pt idx="6">
                <c:v>933931.5945879299</c:v>
              </c:pt>
              <c:pt idx="7">
                <c:v>899119.37267652876</c:v>
              </c:pt>
              <c:pt idx="8">
                <c:v>832056.62769670982</c:v>
              </c:pt>
              <c:pt idx="9">
                <c:v>764825.44958218595</c:v>
              </c:pt>
              <c:pt idx="10">
                <c:v>700427.58718537493</c:v>
              </c:pt>
              <c:pt idx="11">
                <c:v>643039.60500446218</c:v>
              </c:pt>
              <c:pt idx="12">
                <c:v>647312.71648904984</c:v>
              </c:pt>
              <c:pt idx="13">
                <c:v>701207.72652040434</c:v>
              </c:pt>
              <c:pt idx="14">
                <c:v>743043.23333572771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6E3E-449D-93CC-7CE58AAAA65E}"/>
            </c:ext>
          </c:extLst>
        </c:ser>
        <c:ser>
          <c:idx val="1"/>
          <c:order val="2"/>
          <c:tx>
            <c:v>Canarias</c:v>
          </c:tx>
          <c:spPr>
            <a:ln w="19050">
              <a:solidFill>
                <a:schemeClr val="accent6"/>
              </a:solidFill>
            </a:ln>
          </c:spPr>
          <c:marker>
            <c:symbol val="circle"/>
            <c:size val="5"/>
            <c:spPr>
              <a:solidFill>
                <a:schemeClr val="accent6"/>
              </a:solidFill>
              <a:ln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410336.89305934194</c:v>
              </c:pt>
              <c:pt idx="1">
                <c:v>437727.72591771383</c:v>
              </c:pt>
              <c:pt idx="2">
                <c:v>467825.08042674686</c:v>
              </c:pt>
              <c:pt idx="3">
                <c:v>551518.88013933762</c:v>
              </c:pt>
              <c:pt idx="4">
                <c:v>541972.80239797349</c:v>
              </c:pt>
              <c:pt idx="5">
                <c:v>515522.49112716987</c:v>
              </c:pt>
              <c:pt idx="6">
                <c:v>516212.40541213681</c:v>
              </c:pt>
              <c:pt idx="7">
                <c:v>567064.62732366158</c:v>
              </c:pt>
              <c:pt idx="8">
                <c:v>470245.3723033563</c:v>
              </c:pt>
              <c:pt idx="9">
                <c:v>420182.55041824712</c:v>
              </c:pt>
              <c:pt idx="10">
                <c:v>461494.41281506338</c:v>
              </c:pt>
              <c:pt idx="11">
                <c:v>511837.39499551943</c:v>
              </c:pt>
              <c:pt idx="12">
                <c:v>549910.28351071582</c:v>
              </c:pt>
              <c:pt idx="13">
                <c:v>468018.27348018327</c:v>
              </c:pt>
              <c:pt idx="14">
                <c:v>470759.76666423009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6E3E-449D-93CC-7CE58AAAA65E}"/>
            </c:ext>
          </c:extLst>
        </c:ser>
        <c:ser>
          <c:idx val="5"/>
          <c:order val="3"/>
          <c:tx>
            <c:v>Var España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E3E-449D-93CC-7CE58AAAA65E}"/>
                </c:ext>
              </c:extLst>
            </c:dLbl>
            <c:dLbl>
              <c:idx val="1"/>
              <c:layout>
                <c:manualLayout>
                  <c:x val="-4.0420189133435432E-2"/>
                  <c:y val="-0.6328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E3E-449D-93CC-7CE58AAAA65E}"/>
                </c:ext>
              </c:extLst>
            </c:dLbl>
            <c:dLbl>
              <c:idx val="2"/>
              <c:layout>
                <c:manualLayout>
                  <c:x val="-4.0477937956259494E-2"/>
                  <c:y val="-0.6640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E3E-449D-93CC-7CE58AAAA65E}"/>
                </c:ext>
              </c:extLst>
            </c:dLbl>
            <c:dLbl>
              <c:idx val="3"/>
              <c:layout>
                <c:manualLayout>
                  <c:x val="-3.138322324208901E-2"/>
                  <c:y val="-0.70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E3E-449D-93CC-7CE58AAAA65E}"/>
                </c:ext>
              </c:extLst>
            </c:dLbl>
            <c:dLbl>
              <c:idx val="4"/>
              <c:layout>
                <c:manualLayout>
                  <c:x val="-3.2619869581894896E-2"/>
                  <c:y val="-0.677083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E3E-449D-93CC-7CE58AAAA65E}"/>
                </c:ext>
              </c:extLst>
            </c:dLbl>
            <c:dLbl>
              <c:idx val="5"/>
              <c:layout>
                <c:manualLayout>
                  <c:x val="-2.8760605154505285E-2"/>
                  <c:y val="-0.69531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E3E-449D-93CC-7CE58AAAA65E}"/>
                </c:ext>
              </c:extLst>
            </c:dLbl>
            <c:dLbl>
              <c:idx val="6"/>
              <c:layout>
                <c:manualLayout>
                  <c:x val="-2.5009106312804109E-2"/>
                  <c:y val="-0.656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E3E-449D-93CC-7CE58AAAA65E}"/>
                </c:ext>
              </c:extLst>
            </c:dLbl>
            <c:dLbl>
              <c:idx val="7"/>
              <c:layout>
                <c:manualLayout>
                  <c:x val="-1.4231649547098631E-2"/>
                  <c:y val="-0.6570103410341033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E3E-449D-93CC-7CE58AAAA65E}"/>
                </c:ext>
              </c:extLst>
            </c:dLbl>
            <c:dLbl>
              <c:idx val="8"/>
              <c:layout>
                <c:manualLayout>
                  <c:x val="-2.3449404842806616E-2"/>
                  <c:y val="-0.5963541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E3E-449D-93CC-7CE58AAAA65E}"/>
                </c:ext>
              </c:extLst>
            </c:dLbl>
            <c:dLbl>
              <c:idx val="9"/>
              <c:layout>
                <c:manualLayout>
                  <c:x val="-3.2862189979061603E-2"/>
                  <c:y val="-0.536458333333333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E3E-449D-93CC-7CE58AAAA65E}"/>
                </c:ext>
              </c:extLst>
            </c:dLbl>
            <c:dLbl>
              <c:idx val="10"/>
              <c:layout>
                <c:manualLayout>
                  <c:x val="-3.2026324830884211E-2"/>
                  <c:y val="-0.53442442244224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E3E-449D-93CC-7CE58AAAA65E}"/>
                </c:ext>
              </c:extLst>
            </c:dLbl>
            <c:dLbl>
              <c:idx val="11"/>
              <c:layout>
                <c:manualLayout>
                  <c:x val="-3.0786398891149841E-2"/>
                  <c:y val="-0.526041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E3E-449D-93CC-7CE58AAAA65E}"/>
                </c:ext>
              </c:extLst>
            </c:dLbl>
            <c:dLbl>
              <c:idx val="12"/>
              <c:layout>
                <c:manualLayout>
                  <c:x val="-3.0983209952610929E-2"/>
                  <c:y val="-0.572916666666666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E3E-449D-93CC-7CE58AAAA65E}"/>
                </c:ext>
              </c:extLst>
            </c:dLbl>
            <c:dLbl>
              <c:idx val="13"/>
              <c:layout>
                <c:manualLayout>
                  <c:x val="-2.711293953866269E-2"/>
                  <c:y val="-0.54223696369636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E3E-449D-93CC-7CE58AAAA65E}"/>
                </c:ext>
              </c:extLst>
            </c:dLbl>
            <c:dLbl>
              <c:idx val="14"/>
              <c:layout>
                <c:manualLayout>
                  <c:x val="-3.5102385584443931E-2"/>
                  <c:y val="-0.56723872387238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E3E-449D-93CC-7CE58AAAA65E}"/>
                </c:ext>
              </c:extLst>
            </c:dLbl>
            <c:dLbl>
              <c:idx val="15"/>
              <c:layout>
                <c:manualLayout>
                  <c:x val="-1.3695726958429133E-2"/>
                  <c:y val="-0.609152915291529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E3E-449D-93CC-7CE58AAAA65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0.10390423970908258</c:v>
              </c:pt>
              <c:pt idx="1">
                <c:v>0.10110279805206335</c:v>
              </c:pt>
              <c:pt idx="2">
                <c:v>6.4098096790466075E-2</c:v>
              </c:pt>
              <c:pt idx="3">
                <c:v>7.1323414059026424E-2</c:v>
              </c:pt>
              <c:pt idx="4">
                <c:v>-7.431758843198355E-3</c:v>
              </c:pt>
              <c:pt idx="5">
                <c:v>5.4283996915360788E-3</c:v>
              </c:pt>
              <c:pt idx="6">
                <c:v>-7.0797554582018973E-2</c:v>
              </c:pt>
              <c:pt idx="7">
                <c:v>1.1060970496723055E-2</c:v>
              </c:pt>
              <c:pt idx="8">
                <c:v>-0.11177451124824711</c:v>
              </c:pt>
              <c:pt idx="9">
                <c:v>-9.0066666564283859E-2</c:v>
              </c:pt>
              <c:pt idx="10">
                <c:v>-1.9481725017890139E-2</c:v>
              </c:pt>
              <c:pt idx="11">
                <c:v>-6.0632297176574923E-3</c:v>
              </c:pt>
              <c:pt idx="12">
                <c:v>3.6667108272136373E-2</c:v>
              </c:pt>
              <c:pt idx="13">
                <c:v>-2.3384950005136851E-2</c:v>
              </c:pt>
              <c:pt idx="14">
                <c:v>3.812522130024476E-2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1-6E3E-449D-93CC-7CE58AAAA65E}"/>
            </c:ext>
          </c:extLst>
        </c:ser>
        <c:ser>
          <c:idx val="0"/>
          <c:order val="4"/>
          <c:tx>
            <c:v>Var interanual</c:v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6E3E-449D-93CC-7CE58AAAA65E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6E3E-449D-93CC-7CE58AAAA65E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6E3E-449D-93CC-7CE58AAAA65E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6E3E-449D-93CC-7CE58AAAA65E}"/>
              </c:ext>
            </c:extLst>
          </c:dPt>
          <c:dPt>
            <c:idx val="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6E3E-449D-93CC-7CE58AAAA65E}"/>
              </c:ext>
            </c:extLst>
          </c:dPt>
          <c:dPt>
            <c:idx val="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6E3E-449D-93CC-7CE58AAAA65E}"/>
              </c:ext>
            </c:extLst>
          </c:dPt>
          <c:dPt>
            <c:idx val="6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6E3E-449D-93CC-7CE58AAAA65E}"/>
              </c:ext>
            </c:extLst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6E3E-449D-93CC-7CE58AAAA65E}"/>
              </c:ext>
            </c:extLst>
          </c:dPt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6E3E-449D-93CC-7CE58AAAA65E}"/>
              </c:ext>
            </c:extLst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6E3E-449D-93CC-7CE58AAAA65E}"/>
              </c:ext>
            </c:extLst>
          </c:dPt>
          <c:dPt>
            <c:idx val="10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6E3E-449D-93CC-7CE58AAAA65E}"/>
              </c:ext>
            </c:extLst>
          </c:dPt>
          <c:dPt>
            <c:idx val="11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6E3E-449D-93CC-7CE58AAAA65E}"/>
              </c:ext>
            </c:extLst>
          </c:dPt>
          <c:dPt>
            <c:idx val="12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6E3E-449D-93CC-7CE58AAAA65E}"/>
              </c:ext>
            </c:extLst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6E3E-449D-93CC-7CE58AAAA65E}"/>
              </c:ext>
            </c:extLst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6E3E-449D-93CC-7CE58AAAA65E}"/>
              </c:ext>
            </c:extLst>
          </c:dPt>
          <c:dPt>
            <c:idx val="15"/>
            <c:marker>
              <c:spPr>
                <a:noFill/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6E3E-449D-93CC-7CE58AAAA65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E3E-449D-93CC-7CE58AAAA65E}"/>
                </c:ext>
              </c:extLst>
            </c:dLbl>
            <c:dLbl>
              <c:idx val="1"/>
              <c:layout>
                <c:manualLayout>
                  <c:x val="-4.0466524418260666E-2"/>
                  <c:y val="-0.458187541010498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E3E-449D-93CC-7CE58AAAA65E}"/>
                </c:ext>
              </c:extLst>
            </c:dLbl>
            <c:dLbl>
              <c:idx val="2"/>
              <c:layout>
                <c:manualLayout>
                  <c:x val="-3.6740332659798425E-2"/>
                  <c:y val="-0.4791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E3E-449D-93CC-7CE58AAAA65E}"/>
                </c:ext>
              </c:extLst>
            </c:dLbl>
            <c:dLbl>
              <c:idx val="3"/>
              <c:layout>
                <c:manualLayout>
                  <c:x val="-3.5927379043097146E-2"/>
                  <c:y val="-0.48862922408136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E3E-449D-93CC-7CE58AAAA65E}"/>
                </c:ext>
              </c:extLst>
            </c:dLbl>
            <c:dLbl>
              <c:idx val="4"/>
              <c:layout>
                <c:manualLayout>
                  <c:x val="-3.2294906956855114E-2"/>
                  <c:y val="-0.47663529363517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E3E-449D-93CC-7CE58AAAA65E}"/>
                </c:ext>
              </c:extLst>
            </c:dLbl>
            <c:dLbl>
              <c:idx val="5"/>
              <c:layout>
                <c:manualLayout>
                  <c:x val="-2.8299019128933279E-2"/>
                  <c:y val="-0.505787238723872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E3E-449D-93CC-7CE58AAAA65E}"/>
                </c:ext>
              </c:extLst>
            </c:dLbl>
            <c:dLbl>
              <c:idx val="6"/>
              <c:layout>
                <c:manualLayout>
                  <c:x val="-3.164502595978725E-2"/>
                  <c:y val="-0.464767470472440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E3E-449D-93CC-7CE58AAAA65E}"/>
                </c:ext>
              </c:extLst>
            </c:dLbl>
            <c:dLbl>
              <c:idx val="7"/>
              <c:layout>
                <c:manualLayout>
                  <c:x val="-3.3146857793523908E-2"/>
                  <c:y val="-0.447585301837270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E3E-449D-93CC-7CE58AAAA65E}"/>
                </c:ext>
              </c:extLst>
            </c:dLbl>
            <c:dLbl>
              <c:idx val="8"/>
              <c:layout>
                <c:manualLayout>
                  <c:x val="-3.5341796314586109E-2"/>
                  <c:y val="-0.424916543635170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E3E-449D-93CC-7CE58AAAA65E}"/>
                </c:ext>
              </c:extLst>
            </c:dLbl>
            <c:dLbl>
              <c:idx val="9"/>
              <c:layout>
                <c:manualLayout>
                  <c:x val="-3.1703016409485175E-2"/>
                  <c:y val="-0.4012602526246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E3E-449D-93CC-7CE58AAAA65E}"/>
                </c:ext>
              </c:extLst>
            </c:dLbl>
            <c:dLbl>
              <c:idx val="10"/>
              <c:layout>
                <c:manualLayout>
                  <c:x val="-4.0959137875314605E-2"/>
                  <c:y val="-0.37012303149606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E3E-449D-93CC-7CE58AAAA65E}"/>
                </c:ext>
              </c:extLst>
            </c:dLbl>
            <c:dLbl>
              <c:idx val="11"/>
              <c:layout>
                <c:manualLayout>
                  <c:x val="-3.3855066160458365E-2"/>
                  <c:y val="-0.343750000000000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E3E-449D-93CC-7CE58AAAA65E}"/>
                </c:ext>
              </c:extLst>
            </c:dLbl>
            <c:dLbl>
              <c:idx val="12"/>
              <c:layout>
                <c:manualLayout>
                  <c:x val="-2.9361893629809507E-2"/>
                  <c:y val="-0.335243602362204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E3E-449D-93CC-7CE58AAAA65E}"/>
                </c:ext>
              </c:extLst>
            </c:dLbl>
            <c:dLbl>
              <c:idx val="13"/>
              <c:layout>
                <c:manualLayout>
                  <c:x val="-2.9434944372192792E-2"/>
                  <c:y val="-0.357151155115511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E3E-449D-93CC-7CE58AAAA65E}"/>
                </c:ext>
              </c:extLst>
            </c:dLbl>
            <c:dLbl>
              <c:idx val="14"/>
              <c:layout>
                <c:manualLayout>
                  <c:x val="-1.532079307839569E-2"/>
                  <c:y val="-0.392593839383938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E3E-449D-93CC-7CE58AAAA65E}"/>
                </c:ext>
              </c:extLst>
            </c:dLbl>
            <c:dLbl>
              <c:idx val="15"/>
              <c:layout>
                <c:manualLayout>
                  <c:x val="-8.2901545384897087E-3"/>
                  <c:y val="-0.108976897689769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E3E-449D-93CC-7CE58AAAA65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0">
                <c:v>0</c:v>
              </c:pt>
              <c:pt idx="1">
                <c:v>0.11797350372954241</c:v>
              </c:pt>
              <c:pt idx="2">
                <c:v>6.1914254460659679E-2</c:v>
              </c:pt>
              <c:pt idx="3">
                <c:v>2.0585105982307006E-2</c:v>
              </c:pt>
              <c:pt idx="4">
                <c:v>-2.0506781642319893E-3</c:v>
              </c:pt>
              <c:pt idx="5">
                <c:v>3.4522996106648662E-2</c:v>
              </c:pt>
              <c:pt idx="6">
                <c:v>-0.10638005583258248</c:v>
              </c:pt>
              <c:pt idx="7">
                <c:v>-3.7274916185656037E-2</c:v>
              </c:pt>
              <c:pt idx="8">
                <c:v>-7.458714272853928E-2</c:v>
              </c:pt>
              <c:pt idx="9">
                <c:v>-8.0801204962013817E-2</c:v>
              </c:pt>
              <c:pt idx="10">
                <c:v>-8.4199424106494836E-2</c:v>
              </c:pt>
              <c:pt idx="11">
                <c:v>-8.1932783960612987E-2</c:v>
              </c:pt>
              <c:pt idx="12">
                <c:v>6.6451762089489996E-3</c:v>
              </c:pt>
              <c:pt idx="13">
                <c:v>8.3259618818667613E-2</c:v>
              </c:pt>
              <c:pt idx="14">
                <c:v>5.966207335296092E-2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2-6E3E-449D-93CC-7CE58AAAA65E}"/>
            </c:ext>
          </c:extLst>
        </c:ser>
        <c:ser>
          <c:idx val="3"/>
          <c:order val="5"/>
          <c:tx>
            <c:v>Var Canarias</c:v>
          </c:tx>
          <c:spPr>
            <a:ln w="19050">
              <a:noFill/>
            </a:ln>
          </c:spPr>
          <c:marker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9.8582677165354338E-3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E3E-449D-93CC-7CE58AAAA65E}"/>
                </c:ext>
              </c:extLst>
            </c:dLbl>
            <c:dLbl>
              <c:idx val="1"/>
              <c:layout>
                <c:manualLayout>
                  <c:x val="-2.7813088112187415E-2"/>
                  <c:y val="-8.360031167979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6E3E-449D-93CC-7CE58AAAA65E}"/>
                </c:ext>
              </c:extLst>
            </c:dLbl>
            <c:dLbl>
              <c:idx val="2"/>
              <c:layout>
                <c:manualLayout>
                  <c:x val="-3.6332508796112717E-2"/>
                  <c:y val="-9.6621145013123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E3E-449D-93CC-7CE58AAAA65E}"/>
                </c:ext>
              </c:extLst>
            </c:dLbl>
            <c:dLbl>
              <c:idx val="3"/>
              <c:layout>
                <c:manualLayout>
                  <c:x val="-3.7598684779787145E-2"/>
                  <c:y val="-0.130475311679790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E3E-449D-93CC-7CE58AAAA65E}"/>
                </c:ext>
              </c:extLst>
            </c:dLbl>
            <c:dLbl>
              <c:idx val="4"/>
              <c:layout>
                <c:manualLayout>
                  <c:x val="-3.1120994491073285E-2"/>
                  <c:y val="-0.120058645013123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E3E-449D-93CC-7CE58AAAA65E}"/>
                </c:ext>
              </c:extLst>
            </c:dLbl>
            <c:dLbl>
              <c:idx val="5"/>
              <c:layout>
                <c:manualLayout>
                  <c:x val="-3.1120994491073285E-2"/>
                  <c:y val="-0.1096419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6E3E-449D-93CC-7CE58AAAA65E}"/>
                </c:ext>
              </c:extLst>
            </c:dLbl>
            <c:dLbl>
              <c:idx val="6"/>
              <c:layout>
                <c:manualLayout>
                  <c:x val="-3.3709847182807798E-2"/>
                  <c:y val="-0.107037811679790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E3E-449D-93CC-7CE58AAAA65E}"/>
                </c:ext>
              </c:extLst>
            </c:dLbl>
            <c:dLbl>
              <c:idx val="7"/>
              <c:layout>
                <c:manualLayout>
                  <c:x val="-2.9314297251305126E-2"/>
                  <c:y val="-0.13307947834645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6E3E-449D-93CC-7CE58AAAA65E}"/>
                </c:ext>
              </c:extLst>
            </c:dLbl>
            <c:dLbl>
              <c:idx val="8"/>
              <c:layout>
                <c:manualLayout>
                  <c:x val="-3.54104118280179E-2"/>
                  <c:y val="-9.40169783464566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6E3E-449D-93CC-7CE58AAAA65E}"/>
                </c:ext>
              </c:extLst>
            </c:dLbl>
            <c:dLbl>
              <c:idx val="9"/>
              <c:layout>
                <c:manualLayout>
                  <c:x val="-3.2719776934358027E-2"/>
                  <c:y val="-7.5787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6E3E-449D-93CC-7CE58AAAA65E}"/>
                </c:ext>
              </c:extLst>
            </c:dLbl>
            <c:dLbl>
              <c:idx val="10"/>
              <c:layout>
                <c:manualLayout>
                  <c:x val="-2.8417409362291254E-2"/>
                  <c:y val="-9.1412811679790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6E3E-449D-93CC-7CE58AAAA65E}"/>
                </c:ext>
              </c:extLst>
            </c:dLbl>
            <c:dLbl>
              <c:idx val="11"/>
              <c:layout>
                <c:manualLayout>
                  <c:x val="-3.4012244441826933E-2"/>
                  <c:y val="-0.1119791666666666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6E3E-449D-93CC-7CE58AAAA65E}"/>
                </c:ext>
              </c:extLst>
            </c:dLbl>
            <c:dLbl>
              <c:idx val="12"/>
              <c:layout>
                <c:manualLayout>
                  <c:x val="-2.5938609773722299E-2"/>
                  <c:y val="-0.120512871287128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6E3E-449D-93CC-7CE58AAAA65E}"/>
                </c:ext>
              </c:extLst>
            </c:dLbl>
            <c:dLbl>
              <c:idx val="13"/>
              <c:layout>
                <c:manualLayout>
                  <c:x val="-2.8479183117328648E-2"/>
                  <c:y val="-0.100630143014301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6E3E-449D-93CC-7CE58AAAA65E}"/>
                </c:ext>
              </c:extLst>
            </c:dLbl>
            <c:dLbl>
              <c:idx val="14"/>
              <c:layout>
                <c:manualLayout>
                  <c:x val="-2.3102441287319669E-2"/>
                  <c:y val="-9.700330033003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6E3E-449D-93CC-7CE58AAAA65E}"/>
                </c:ext>
              </c:extLst>
            </c:dLbl>
            <c:dLbl>
              <c:idx val="15"/>
              <c:layout>
                <c:manualLayout>
                  <c:x val="-1.7243956618774524E-4"/>
                  <c:y val="-0.39040264026402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6E3E-449D-93CC-7CE58AAAA65E}"/>
                </c:ext>
              </c:extLst>
            </c:dLbl>
            <c:numFmt formatCode="0.0%" sourceLinked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6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</c:numLit>
          </c:cat>
          <c:val>
            <c:numLit>
              <c:formatCode>General</c:formatCode>
              <c:ptCount val="16"/>
              <c:pt idx="1">
                <c:v>6.6752059884634063E-2</c:v>
              </c:pt>
              <c:pt idx="2">
                <c:v>6.8758163412958817E-2</c:v>
              </c:pt>
              <c:pt idx="3">
                <c:v>0.17889977090635201</c:v>
              </c:pt>
              <c:pt idx="4">
                <c:v>-1.7308705259468815E-2</c:v>
              </c:pt>
              <c:pt idx="5">
                <c:v>-4.8803761284281211E-2</c:v>
              </c:pt>
              <c:pt idx="6">
                <c:v>1.3382816401636966E-3</c:v>
              </c:pt>
              <c:pt idx="7">
                <c:v>9.8510267049713995E-2</c:v>
              </c:pt>
              <c:pt idx="8">
                <c:v>-0.17073760265607973</c:v>
              </c:pt>
              <c:pt idx="9">
                <c:v>-0.10646106231708652</c:v>
              </c:pt>
              <c:pt idx="10">
                <c:v>9.8318843454338278E-2</c:v>
              </c:pt>
              <c:pt idx="11">
                <c:v>0.10908687252218208</c:v>
              </c:pt>
              <c:pt idx="12">
                <c:v>7.4384734072682646E-2</c:v>
              </c:pt>
              <c:pt idx="13">
                <c:v>-0.14891885546806061</c:v>
              </c:pt>
              <c:pt idx="14">
                <c:v>5.857662701204136E-3</c:v>
              </c:pt>
              <c:pt idx="1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3-6E3E-449D-93CC-7CE58AAAA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38848"/>
        <c:axId val="93432320"/>
      </c:lineChart>
      <c:catAx>
        <c:axId val="9343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2320"/>
        <c:crosses val="autoZero"/>
        <c:auto val="1"/>
        <c:lblAlgn val="ctr"/>
        <c:lblOffset val="100"/>
        <c:tickLblSkip val="1"/>
        <c:noMultiLvlLbl val="0"/>
      </c:catAx>
      <c:valAx>
        <c:axId val="934323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ES"/>
          </a:p>
        </c:txPr>
        <c:crossAx val="93438848"/>
        <c:crosses val="max"/>
        <c:crossBetween val="between"/>
      </c:valAx>
      <c:spPr>
        <a:noFill/>
        <a:ln>
          <a:noFill/>
        </a:ln>
      </c:spPr>
    </c:plotArea>
    <c:legend>
      <c:legendPos val="t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6.8355479002624689E-2"/>
          <c:w val="0.63007114592909386"/>
          <c:h val="6.135000300534952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75351449275362"/>
          <c:y val="0.16682593088722317"/>
          <c:w val="0.86939722222222227"/>
          <c:h val="0.44673508775094251"/>
        </c:manualLayout>
      </c:layout>
      <c:lineChart>
        <c:grouping val="standard"/>
        <c:varyColors val="0"/>
        <c:ser>
          <c:idx val="5"/>
          <c:order val="1"/>
          <c:tx>
            <c:strRef>
              <c:f>'Viajeros entr evol mensu TF'!$I$183:$J$183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2683C6">
                  <a:lumMod val="60000"/>
                  <a:lumOff val="4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>
                  <a:lumMod val="60000"/>
                  <a:lumOff val="40000"/>
                </a:srgbClr>
              </a:solidFill>
              <a:ln w="9525">
                <a:solidFill>
                  <a:srgbClr val="2683C6">
                    <a:lumMod val="60000"/>
                    <a:lumOff val="40000"/>
                  </a:srgbClr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0D-443C-95AD-E40FB48106EA}"/>
              </c:ext>
            </c:extLst>
          </c:dPt>
          <c:val>
            <c:numRef>
              <c:f>'Viajeros entr evol mensu TF'!$I$185:$I$197</c:f>
              <c:numCache>
                <c:formatCode>#,##0</c:formatCode>
                <c:ptCount val="13"/>
                <c:pt idx="0">
                  <c:v>4058</c:v>
                </c:pt>
                <c:pt idx="1">
                  <c:v>3219</c:v>
                </c:pt>
                <c:pt idx="2">
                  <c:v>2822</c:v>
                </c:pt>
                <c:pt idx="3">
                  <c:v>3844</c:v>
                </c:pt>
                <c:pt idx="4">
                  <c:v>3384</c:v>
                </c:pt>
                <c:pt idx="5">
                  <c:v>2974</c:v>
                </c:pt>
                <c:pt idx="6">
                  <c:v>4010</c:v>
                </c:pt>
                <c:pt idx="7">
                  <c:v>3806</c:v>
                </c:pt>
                <c:pt idx="8">
                  <c:v>3714</c:v>
                </c:pt>
                <c:pt idx="9">
                  <c:v>4250</c:v>
                </c:pt>
                <c:pt idx="10">
                  <c:v>3688</c:v>
                </c:pt>
                <c:pt idx="11">
                  <c:v>4414</c:v>
                </c:pt>
                <c:pt idx="12">
                  <c:v>44183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0D-443C-95AD-E40FB48106EA}"/>
            </c:ext>
          </c:extLst>
        </c:ser>
        <c:ser>
          <c:idx val="0"/>
          <c:order val="2"/>
          <c:tx>
            <c:strRef>
              <c:f>'Viajeros entr evol mensu TF'!$K$183:$L$183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B0D-443C-95AD-E40FB48106E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TF'!$K$185:$K$197</c:f>
              <c:numCache>
                <c:formatCode>#,##0</c:formatCode>
                <c:ptCount val="13"/>
                <c:pt idx="0">
                  <c:v>4254</c:v>
                </c:pt>
                <c:pt idx="1">
                  <c:v>3831</c:v>
                </c:pt>
                <c:pt idx="2">
                  <c:v>3770</c:v>
                </c:pt>
                <c:pt idx="3">
                  <c:v>4173</c:v>
                </c:pt>
                <c:pt idx="4">
                  <c:v>3296</c:v>
                </c:pt>
                <c:pt idx="5">
                  <c:v>2680</c:v>
                </c:pt>
                <c:pt idx="6">
                  <c:v>4277</c:v>
                </c:pt>
                <c:pt idx="7">
                  <c:v>3503</c:v>
                </c:pt>
                <c:pt idx="8">
                  <c:v>3091</c:v>
                </c:pt>
                <c:pt idx="9">
                  <c:v>3949</c:v>
                </c:pt>
                <c:pt idx="10">
                  <c:v>3573</c:v>
                </c:pt>
                <c:pt idx="11">
                  <c:v>4236</c:v>
                </c:pt>
                <c:pt idx="12">
                  <c:v>44633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0D-443C-95AD-E40FB48106EA}"/>
            </c:ext>
          </c:extLst>
        </c:ser>
        <c:ser>
          <c:idx val="1"/>
          <c:order val="3"/>
          <c:tx>
            <c:strRef>
              <c:f>'Viajeros entr evol mensu TF'!$M$183:$N$183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58B6C0">
                    <a:shade val="95000"/>
                    <a:satMod val="105000"/>
                  </a:srgb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0D-443C-95AD-E40FB48106EA}"/>
              </c:ext>
            </c:extLst>
          </c:dPt>
          <c:dPt>
            <c:idx val="12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B0D-443C-95AD-E40FB48106EA}"/>
              </c:ext>
            </c:extLst>
          </c:dPt>
          <c:cat>
            <c:strRef>
              <c:f>'Viajeros entr evol mensu TF'!$A$9:$A$21</c:f>
              <c:strCache>
                <c:ptCount val="13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  <c:pt idx="12">
                  <c:v>Total</c:v>
                </c:pt>
              </c:strCache>
            </c:strRef>
          </c:cat>
          <c:val>
            <c:numRef>
              <c:f>'Viajeros entr evol mensu TF'!$M$185:$M$197</c:f>
              <c:numCache>
                <c:formatCode>#,##0</c:formatCode>
                <c:ptCount val="13"/>
                <c:pt idx="0">
                  <c:v>3018</c:v>
                </c:pt>
                <c:pt idx="1">
                  <c:v>3089</c:v>
                </c:pt>
                <c:pt idx="2">
                  <c:v>3351</c:v>
                </c:pt>
                <c:pt idx="3">
                  <c:v>2803</c:v>
                </c:pt>
                <c:pt idx="4">
                  <c:v>3239</c:v>
                </c:pt>
                <c:pt idx="5">
                  <c:v>2876</c:v>
                </c:pt>
                <c:pt idx="6">
                  <c:v>3871</c:v>
                </c:pt>
                <c:pt idx="7">
                  <c:v>3638</c:v>
                </c:pt>
                <c:pt idx="8">
                  <c:v>3541</c:v>
                </c:pt>
                <c:pt idx="9">
                  <c:v>3943</c:v>
                </c:pt>
                <c:pt idx="10">
                  <c:v>4143</c:v>
                </c:pt>
                <c:pt idx="11">
                  <c:v>3677</c:v>
                </c:pt>
                <c:pt idx="12">
                  <c:v>41189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B0D-443C-95AD-E40FB4810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  <c:extLst>
          <c:ext xmlns:c15="http://schemas.microsoft.com/office/drawing/2012/chart" uri="{02D57815-91ED-43cb-92C2-25804820EDAC}">
            <c15:filteredLine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'Viajeros entr evol mensu TF'!$C$183:$D$183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bg1">
                        <a:lumMod val="65000"/>
                      </a:schemeClr>
                    </a:solidFill>
                    <a:ln w="9525">
                      <a:solidFill>
                        <a:schemeClr val="bg1">
                          <a:lumMod val="65000"/>
                        </a:schemeClr>
                      </a:solidFill>
                    </a:ln>
                    <a:effectLst/>
                  </c:spPr>
                </c:marker>
                <c:dPt>
                  <c:idx val="12"/>
                  <c:marker>
                    <c:symbol val="circle"/>
                    <c:size val="5"/>
                    <c:spPr>
                      <a:noFill/>
                      <a:ln w="9525">
                        <a:noFill/>
                      </a:ln>
                      <a:effectLst/>
                    </c:spPr>
                  </c:marker>
                  <c:bubble3D val="0"/>
                  <c:spPr>
                    <a:ln w="28575" cap="rnd">
                      <a:noFill/>
                      <a:round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A-3B0D-443C-95AD-E40FB48106EA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'Viajeros entr evol mensu TF'!$A$9:$A$21</c15:sqref>
                        </c15:formulaRef>
                      </c:ext>
                    </c:extLst>
                    <c:strCache>
                      <c:ptCount val="13"/>
                      <c:pt idx="0">
                        <c:v>ene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abr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ago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dic</c:v>
                      </c:pt>
                      <c:pt idx="12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'Viajeros entr evol mensu TF'!$C$185:$C$197</c15:sqref>
                        </c15:formulaRef>
                      </c:ext>
                    </c:extLst>
                    <c:numCache>
                      <c:formatCode>#,##0</c:formatCode>
                      <c:ptCount val="13"/>
                      <c:pt idx="0">
                        <c:v>4296</c:v>
                      </c:pt>
                      <c:pt idx="1">
                        <c:v>3387</c:v>
                      </c:pt>
                      <c:pt idx="2">
                        <c:v>1344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1493</c:v>
                      </c:pt>
                      <c:pt idx="8">
                        <c:v>2218</c:v>
                      </c:pt>
                      <c:pt idx="9">
                        <c:v>848</c:v>
                      </c:pt>
                      <c:pt idx="10">
                        <c:v>437</c:v>
                      </c:pt>
                      <c:pt idx="11">
                        <c:v>554</c:v>
                      </c:pt>
                      <c:pt idx="12">
                        <c:v>15534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B-3B0D-443C-95AD-E40FB48106EA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4"/>
          <c:tx>
            <c:strRef>
              <c:f>'Viajeros entr evol mensu TF'!$N$184</c:f>
              <c:strCache>
                <c:ptCount val="1"/>
                <c:pt idx="0">
                  <c:v>var 25/24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3B0D-443C-95AD-E40FB48106EA}"/>
              </c:ext>
            </c:extLst>
          </c:dPt>
          <c:dPt>
            <c:idx val="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3B0D-443C-95AD-E40FB48106EA}"/>
              </c:ext>
            </c:extLst>
          </c:dPt>
          <c:dPt>
            <c:idx val="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3B0D-443C-95AD-E40FB48106EA}"/>
              </c:ext>
            </c:extLst>
          </c:dPt>
          <c:dPt>
            <c:idx val="3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3B0D-443C-95AD-E40FB48106EA}"/>
              </c:ext>
            </c:extLst>
          </c:dPt>
          <c:dPt>
            <c:idx val="4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3B0D-443C-95AD-E40FB48106EA}"/>
              </c:ext>
            </c:extLst>
          </c:dPt>
          <c:dPt>
            <c:idx val="5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3B0D-443C-95AD-E40FB48106EA}"/>
              </c:ext>
            </c:extLst>
          </c:dPt>
          <c:dPt>
            <c:idx val="6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3B0D-443C-95AD-E40FB48106EA}"/>
              </c:ext>
            </c:extLst>
          </c:dPt>
          <c:dPt>
            <c:idx val="7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3B0D-443C-95AD-E40FB48106EA}"/>
              </c:ext>
            </c:extLst>
          </c:dPt>
          <c:dPt>
            <c:idx val="8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3B0D-443C-95AD-E40FB48106EA}"/>
              </c:ext>
            </c:extLst>
          </c:dPt>
          <c:dPt>
            <c:idx val="9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3B0D-443C-95AD-E40FB48106EA}"/>
              </c:ext>
            </c:extLst>
          </c:dPt>
          <c:dPt>
            <c:idx val="10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3B0D-443C-95AD-E40FB48106EA}"/>
              </c:ext>
            </c:extLst>
          </c:dPt>
          <c:dPt>
            <c:idx val="11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3B0D-443C-95AD-E40FB48106EA}"/>
              </c:ext>
            </c:extLst>
          </c:dPt>
          <c:dPt>
            <c:idx val="12"/>
            <c:marker>
              <c:symbol val="squar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3B0D-443C-95AD-E40FB48106EA}"/>
              </c:ext>
            </c:extLst>
          </c:dPt>
          <c:cat>
            <c:strRef>
              <c:f>'Viajeros entr evol mensu TF'!$B$185:$B$196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'Viajeros entr evol mensu TF'!$N$185:$N$197</c:f>
              <c:numCache>
                <c:formatCode>0.0%</c:formatCode>
                <c:ptCount val="13"/>
                <c:pt idx="0">
                  <c:v>-0.29055007052186177</c:v>
                </c:pt>
                <c:pt idx="1">
                  <c:v>-0.19368311145914907</c:v>
                </c:pt>
                <c:pt idx="2">
                  <c:v>-0.11114058355437662</c:v>
                </c:pt>
                <c:pt idx="3">
                  <c:v>-0.32830098250659001</c:v>
                </c:pt>
                <c:pt idx="4">
                  <c:v>-1.7293689320388328E-2</c:v>
                </c:pt>
                <c:pt idx="5">
                  <c:v>7.3134328358208878E-2</c:v>
                </c:pt>
                <c:pt idx="6">
                  <c:v>-9.4926350245499225E-2</c:v>
                </c:pt>
                <c:pt idx="7">
                  <c:v>3.8538395660862035E-2</c:v>
                </c:pt>
                <c:pt idx="8">
                  <c:v>0.1455839534131349</c:v>
                </c:pt>
                <c:pt idx="9">
                  <c:v>-1.519371992909635E-3</c:v>
                </c:pt>
                <c:pt idx="10">
                  <c:v>0.15952980688497065</c:v>
                </c:pt>
                <c:pt idx="11">
                  <c:v>-0.13196411709159583</c:v>
                </c:pt>
                <c:pt idx="12">
                  <c:v>-7.7162637510362342E-2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B0D-443C-95AD-E40FB4810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27839"/>
        <c:axId val="383247327"/>
      </c:lineChart>
      <c:catAx>
        <c:axId val="29373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autoZero"/>
        <c:crossBetween val="between"/>
      </c:valAx>
      <c:valAx>
        <c:axId val="383247327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3227839"/>
        <c:crosses val="max"/>
        <c:crossBetween val="between"/>
      </c:valAx>
      <c:catAx>
        <c:axId val="38322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3247327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'distribución canarias x munici'!$B$3</c:f>
          <c:strCache>
            <c:ptCount val="1"/>
            <c:pt idx="0">
              <c:v>Viajeros canarios entrados en los hoteles y apartamentos de Tenerife por municipio de alojamiento</c:v>
            </c:pt>
          </c:strCache>
        </c:strRef>
      </c:tx>
      <c:layout>
        <c:manualLayout>
          <c:xMode val="edge"/>
          <c:yMode val="edge"/>
          <c:x val="1.025990518432452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7727254388005181"/>
          <c:y val="0.16206612589429406"/>
          <c:w val="0.82272741511946601"/>
          <c:h val="0.4057496901054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canarias x munici'!$G$5</c:f>
              <c:strCache>
                <c:ptCount val="1"/>
                <c:pt idx="0">
                  <c:v>acumulado diciembre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'distribución canarias x munici'!$B$7:$B$16</c:f>
              <c:strCache>
                <c:ptCount val="10"/>
                <c:pt idx="0">
                  <c:v>Adeje</c:v>
                </c:pt>
                <c:pt idx="1">
                  <c:v>Arona</c:v>
                </c:pt>
                <c:pt idx="2">
                  <c:v>Granadilla de Abona</c:v>
                </c:pt>
                <c:pt idx="3">
                  <c:v>Puerto de la Cruz</c:v>
                </c:pt>
                <c:pt idx="4">
                  <c:v>San Miguel de Abona</c:v>
                </c:pt>
                <c:pt idx="5">
                  <c:v>Santa Cruz de Tenerife</c:v>
                </c:pt>
                <c:pt idx="6">
                  <c:v>San Cristóbal de La Laguna</c:v>
                </c:pt>
                <c:pt idx="7">
                  <c:v>Santiago del Teide</c:v>
                </c:pt>
                <c:pt idx="8">
                  <c:v>Guía de Isora</c:v>
                </c:pt>
                <c:pt idx="9">
                  <c:v>Resto de municipios de Tenerife</c:v>
                </c:pt>
              </c:strCache>
            </c:strRef>
          </c:cat>
          <c:val>
            <c:numRef>
              <c:f>'distribución canarias x munici'!$G$7:$G$16</c:f>
              <c:numCache>
                <c:formatCode>#,##0</c:formatCode>
                <c:ptCount val="10"/>
                <c:pt idx="0">
                  <c:v>75361</c:v>
                </c:pt>
                <c:pt idx="1">
                  <c:v>52610</c:v>
                </c:pt>
                <c:pt idx="2">
                  <c:v>14856</c:v>
                </c:pt>
                <c:pt idx="3">
                  <c:v>92865</c:v>
                </c:pt>
                <c:pt idx="4">
                  <c:v>19520</c:v>
                </c:pt>
                <c:pt idx="5">
                  <c:v>67025</c:v>
                </c:pt>
                <c:pt idx="6">
                  <c:v>12024</c:v>
                </c:pt>
                <c:pt idx="7">
                  <c:v>22352</c:v>
                </c:pt>
                <c:pt idx="8">
                  <c:v>29399</c:v>
                </c:pt>
                <c:pt idx="9">
                  <c:v>44307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C-4DD7-A109-42A165C3023A}"/>
            </c:ext>
          </c:extLst>
        </c:ser>
        <c:ser>
          <c:idx val="1"/>
          <c:order val="1"/>
          <c:tx>
            <c:strRef>
              <c:f>'distribución canarias x munici'!$K$5</c:f>
              <c:strCache>
                <c:ptCount val="1"/>
                <c:pt idx="0">
                  <c:v>acumulado diciembre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munici'!$K$7:$K$16</c:f>
              <c:numCache>
                <c:formatCode>#,##0</c:formatCode>
                <c:ptCount val="10"/>
                <c:pt idx="0">
                  <c:v>60679</c:v>
                </c:pt>
                <c:pt idx="1">
                  <c:v>50222</c:v>
                </c:pt>
                <c:pt idx="2">
                  <c:v>7765</c:v>
                </c:pt>
                <c:pt idx="3">
                  <c:v>106402</c:v>
                </c:pt>
                <c:pt idx="4">
                  <c:v>16099</c:v>
                </c:pt>
                <c:pt idx="5">
                  <c:v>75188</c:v>
                </c:pt>
                <c:pt idx="6">
                  <c:v>11877</c:v>
                </c:pt>
                <c:pt idx="7">
                  <c:v>18376</c:v>
                </c:pt>
                <c:pt idx="8">
                  <c:v>37562</c:v>
                </c:pt>
                <c:pt idx="9">
                  <c:v>37854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0C-4DD7-A109-42A165C3023A}"/>
            </c:ext>
          </c:extLst>
        </c:ser>
        <c:ser>
          <c:idx val="2"/>
          <c:order val="2"/>
          <c:tx>
            <c:strRef>
              <c:f>'distribución canarias x munici'!$O$5</c:f>
              <c:strCache>
                <c:ptCount val="1"/>
                <c:pt idx="0">
                  <c:v>acumulado diciembre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'distribución canarias x munici'!$O$7:$O$16</c:f>
              <c:numCache>
                <c:formatCode>#,##0</c:formatCode>
                <c:ptCount val="10"/>
                <c:pt idx="0">
                  <c:v>67419</c:v>
                </c:pt>
                <c:pt idx="1">
                  <c:v>51408</c:v>
                </c:pt>
                <c:pt idx="2">
                  <c:v>5908</c:v>
                </c:pt>
                <c:pt idx="3">
                  <c:v>104050</c:v>
                </c:pt>
                <c:pt idx="4">
                  <c:v>20486</c:v>
                </c:pt>
                <c:pt idx="5">
                  <c:v>93462</c:v>
                </c:pt>
                <c:pt idx="6">
                  <c:v>13687</c:v>
                </c:pt>
                <c:pt idx="7">
                  <c:v>19606</c:v>
                </c:pt>
                <c:pt idx="8">
                  <c:v>16499</c:v>
                </c:pt>
                <c:pt idx="9">
                  <c:v>31635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0C-4DD7-A109-42A165C30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954143"/>
        <c:axId val="481968287"/>
      </c:barChart>
      <c:barChart>
        <c:barDir val="col"/>
        <c:grouping val="clustered"/>
        <c:varyColors val="0"/>
        <c:ser>
          <c:idx val="3"/>
          <c:order val="3"/>
          <c:tx>
            <c:strRef>
              <c:f>'distribución canarias x munici'!$P$5</c:f>
              <c:strCache>
                <c:ptCount val="1"/>
                <c:pt idx="0">
                  <c:v>var. 25/24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munici'!$P$7:$P$16</c:f>
              <c:numCache>
                <c:formatCode>0.0%</c:formatCode>
                <c:ptCount val="10"/>
                <c:pt idx="0">
                  <c:v>0.11107631964930209</c:v>
                </c:pt>
                <c:pt idx="1">
                  <c:v>2.3615148739596137E-2</c:v>
                </c:pt>
                <c:pt idx="2">
                  <c:v>-0.23915003219575015</c:v>
                </c:pt>
                <c:pt idx="3">
                  <c:v>-2.2104847653239612E-2</c:v>
                </c:pt>
                <c:pt idx="4">
                  <c:v>0.2725013976023356</c:v>
                </c:pt>
                <c:pt idx="5">
                  <c:v>0.24304410278235888</c:v>
                </c:pt>
                <c:pt idx="6">
                  <c:v>0.15239538604024583</c:v>
                </c:pt>
                <c:pt idx="7">
                  <c:v>6.693513278188945E-2</c:v>
                </c:pt>
                <c:pt idx="8">
                  <c:v>-0.56075288855758476</c:v>
                </c:pt>
                <c:pt idx="9">
                  <c:v>-0.16428911079410369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0C-4DD7-A109-42A165C3023A}"/>
            </c:ext>
          </c:extLst>
        </c:ser>
        <c:ser>
          <c:idx val="6"/>
          <c:order val="4"/>
          <c:tx>
            <c:strRef>
              <c:f>'distribución canarias x munici'!$T$5</c:f>
              <c:strCache>
                <c:ptCount val="1"/>
                <c:pt idx="0">
                  <c:v>%/s total Tenerife 2025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'distribución canarias x munici'!$T$7:$T$16</c:f>
              <c:numCache>
                <c:formatCode>0.0%</c:formatCode>
                <c:ptCount val="10"/>
                <c:pt idx="0">
                  <c:v>0.15894709543568464</c:v>
                </c:pt>
                <c:pt idx="1">
                  <c:v>0.12119954734062618</c:v>
                </c:pt>
                <c:pt idx="2">
                  <c:v>1.3928706148623161E-2</c:v>
                </c:pt>
                <c:pt idx="3">
                  <c:v>0.2453083741984157</c:v>
                </c:pt>
                <c:pt idx="4">
                  <c:v>4.8297812146359864E-2</c:v>
                </c:pt>
                <c:pt idx="5">
                  <c:v>0.22034609581290079</c:v>
                </c:pt>
                <c:pt idx="6">
                  <c:v>3.2268483591097699E-2</c:v>
                </c:pt>
                <c:pt idx="7">
                  <c:v>4.6223123349679367E-2</c:v>
                </c:pt>
                <c:pt idx="8">
                  <c:v>3.8898057336854017E-2</c:v>
                </c:pt>
                <c:pt idx="9">
                  <c:v>7.4582704639758579E-2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0C-4DD7-A109-42A165C30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2474639"/>
        <c:axId val="2062465903"/>
      </c:barChart>
      <c:catAx>
        <c:axId val="481954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68287"/>
        <c:crosses val="autoZero"/>
        <c:auto val="1"/>
        <c:lblAlgn val="ctr"/>
        <c:lblOffset val="500"/>
        <c:noMultiLvlLbl val="0"/>
      </c:catAx>
      <c:valAx>
        <c:axId val="4819682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1954143"/>
        <c:crosses val="autoZero"/>
        <c:crossBetween val="between"/>
      </c:valAx>
      <c:valAx>
        <c:axId val="2062465903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2474639"/>
        <c:crosses val="max"/>
        <c:crossBetween val="between"/>
      </c:valAx>
      <c:catAx>
        <c:axId val="2062474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062465903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españo'!$C$8:$C$22</c:f>
              <c:numCache>
                <c:formatCode>#,##0</c:formatCode>
                <c:ptCount val="15"/>
                <c:pt idx="0">
                  <c:v>114632</c:v>
                </c:pt>
                <c:pt idx="1">
                  <c:v>119487</c:v>
                </c:pt>
                <c:pt idx="2">
                  <c:v>123951</c:v>
                </c:pt>
                <c:pt idx="3">
                  <c:v>83468</c:v>
                </c:pt>
                <c:pt idx="4">
                  <c:v>51760</c:v>
                </c:pt>
                <c:pt idx="5">
                  <c:v>127819</c:v>
                </c:pt>
                <c:pt idx="6">
                  <c:v>132654</c:v>
                </c:pt>
                <c:pt idx="7">
                  <c:v>126987</c:v>
                </c:pt>
                <c:pt idx="8">
                  <c:v>125060</c:v>
                </c:pt>
                <c:pt idx="9">
                  <c:v>125026</c:v>
                </c:pt>
                <c:pt idx="10">
                  <c:v>106371</c:v>
                </c:pt>
                <c:pt idx="11">
                  <c:v>113290</c:v>
                </c:pt>
                <c:pt idx="12">
                  <c:v>108318</c:v>
                </c:pt>
                <c:pt idx="13">
                  <c:v>120715</c:v>
                </c:pt>
                <c:pt idx="14">
                  <c:v>143879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6-47CE-81FF-27F711EE3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españo'!$D$7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españo'!$B$8:$B$22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españo'!$D$8:$D$22</c:f>
              <c:numCache>
                <c:formatCode>0.0%</c:formatCode>
                <c:ptCount val="15"/>
                <c:pt idx="0">
                  <c:v>-4.063203528417314E-2</c:v>
                </c:pt>
                <c:pt idx="1">
                  <c:v>-3.6014231430161914E-2</c:v>
                </c:pt>
                <c:pt idx="2">
                  <c:v>0.48501222025207258</c:v>
                </c:pt>
                <c:pt idx="3">
                  <c:v>0.61259659969088109</c:v>
                </c:pt>
                <c:pt idx="4">
                  <c:v>-0.59505237875433226</c:v>
                </c:pt>
                <c:pt idx="5">
                  <c:v>-3.6448203597328366E-2</c:v>
                </c:pt>
                <c:pt idx="6">
                  <c:v>4.46266153228283E-2</c:v>
                </c:pt>
                <c:pt idx="7">
                  <c:v>1.5408603870142423E-2</c:v>
                </c:pt>
                <c:pt idx="8">
                  <c:v>2.7194343576542046E-4</c:v>
                </c:pt>
                <c:pt idx="9">
                  <c:v>0.17537674742175979</c:v>
                </c:pt>
                <c:pt idx="10">
                  <c:v>-6.1073351575602453E-2</c:v>
                </c:pt>
                <c:pt idx="11">
                  <c:v>4.5901881497073527E-2</c:v>
                </c:pt>
                <c:pt idx="12">
                  <c:v>-0.10269643374891269</c:v>
                </c:pt>
                <c:pt idx="13">
                  <c:v>-0.16099639280228528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6-47CE-81FF-27F711EE3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penins'!$C$8:$C$22</c:f>
              <c:numCache>
                <c:formatCode>#,##0</c:formatCode>
                <c:ptCount val="15"/>
                <c:pt idx="0">
                  <c:v>64410</c:v>
                </c:pt>
                <c:pt idx="1">
                  <c:v>66877</c:v>
                </c:pt>
                <c:pt idx="2">
                  <c:v>75857</c:v>
                </c:pt>
                <c:pt idx="3">
                  <c:v>39986</c:v>
                </c:pt>
                <c:pt idx="4">
                  <c:v>26848</c:v>
                </c:pt>
                <c:pt idx="5">
                  <c:v>76491</c:v>
                </c:pt>
                <c:pt idx="6">
                  <c:v>90288</c:v>
                </c:pt>
                <c:pt idx="7">
                  <c:v>83344</c:v>
                </c:pt>
                <c:pt idx="8">
                  <c:v>80738</c:v>
                </c:pt>
                <c:pt idx="9">
                  <c:v>76940</c:v>
                </c:pt>
                <c:pt idx="10">
                  <c:v>59625</c:v>
                </c:pt>
                <c:pt idx="11">
                  <c:v>69676</c:v>
                </c:pt>
                <c:pt idx="12">
                  <c:v>71512</c:v>
                </c:pt>
                <c:pt idx="13">
                  <c:v>63436</c:v>
                </c:pt>
                <c:pt idx="14">
                  <c:v>66756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F-410E-A183-F08EE22AA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penins'!$D$7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penins'!$B$8:$B$22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penins'!$D$8:$D$22</c:f>
              <c:numCache>
                <c:formatCode>0.0%</c:formatCode>
                <c:ptCount val="15"/>
                <c:pt idx="0">
                  <c:v>-3.6888616415210018E-2</c:v>
                </c:pt>
                <c:pt idx="1">
                  <c:v>-0.11838063725167092</c:v>
                </c:pt>
                <c:pt idx="2">
                  <c:v>0.89708898114340019</c:v>
                </c:pt>
                <c:pt idx="3">
                  <c:v>0.48934743742550646</c:v>
                </c:pt>
                <c:pt idx="4">
                  <c:v>-0.64900445804081519</c:v>
                </c:pt>
                <c:pt idx="5">
                  <c:v>-0.15281100478468901</c:v>
                </c:pt>
                <c:pt idx="6">
                  <c:v>8.3317335381071222E-2</c:v>
                </c:pt>
                <c:pt idx="7">
                  <c:v>3.2277242438504716E-2</c:v>
                </c:pt>
                <c:pt idx="8">
                  <c:v>4.9363140109176085E-2</c:v>
                </c:pt>
                <c:pt idx="9">
                  <c:v>0.29039832285115308</c:v>
                </c:pt>
                <c:pt idx="10">
                  <c:v>-0.14425340145817789</c:v>
                </c:pt>
                <c:pt idx="11">
                  <c:v>-2.5674012753104325E-2</c:v>
                </c:pt>
                <c:pt idx="12">
                  <c:v>0.12730941421274977</c:v>
                </c:pt>
                <c:pt idx="13">
                  <c:v>-4.9733357301216419E-2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F-410E-A183-F08EE22AA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7334541062802"/>
          <c:y val="0.15609807191281147"/>
          <c:w val="0.86939722222222227"/>
          <c:h val="0.56248308341242015"/>
        </c:manualLayout>
      </c:layout>
      <c:lineChart>
        <c:grouping val="standard"/>
        <c:varyColors val="0"/>
        <c:ser>
          <c:idx val="3"/>
          <c:order val="0"/>
          <c:tx>
            <c:v>viajeros entrados</c:v>
          </c:tx>
          <c:spPr>
            <a:ln w="28575" cap="rnd">
              <a:solidFill>
                <a:srgbClr val="2683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683C6"/>
              </a:solidFill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canari'!$C$8:$C$22</c:f>
              <c:numCache>
                <c:formatCode>#,##0</c:formatCode>
                <c:ptCount val="15"/>
                <c:pt idx="0">
                  <c:v>50222</c:v>
                </c:pt>
                <c:pt idx="1">
                  <c:v>52610</c:v>
                </c:pt>
                <c:pt idx="2">
                  <c:v>48094</c:v>
                </c:pt>
                <c:pt idx="3">
                  <c:v>43482</c:v>
                </c:pt>
                <c:pt idx="4">
                  <c:v>24912</c:v>
                </c:pt>
                <c:pt idx="5">
                  <c:v>51328</c:v>
                </c:pt>
                <c:pt idx="6">
                  <c:v>42366</c:v>
                </c:pt>
                <c:pt idx="7">
                  <c:v>43643</c:v>
                </c:pt>
                <c:pt idx="8">
                  <c:v>44322</c:v>
                </c:pt>
                <c:pt idx="9">
                  <c:v>48086</c:v>
                </c:pt>
                <c:pt idx="10">
                  <c:v>46746</c:v>
                </c:pt>
                <c:pt idx="11">
                  <c:v>43614</c:v>
                </c:pt>
                <c:pt idx="12">
                  <c:v>36806</c:v>
                </c:pt>
                <c:pt idx="13">
                  <c:v>57279</c:v>
                </c:pt>
                <c:pt idx="14">
                  <c:v>77123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E-4F41-95F2-2E8AB8D0D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lineChart>
        <c:grouping val="standard"/>
        <c:varyColors val="0"/>
        <c:ser>
          <c:idx val="2"/>
          <c:order val="1"/>
          <c:tx>
            <c:strRef>
              <c:f>'evolución anual viaj ent canari'!$D$7</c:f>
              <c:strCache>
                <c:ptCount val="1"/>
                <c:pt idx="0">
                  <c:v>var interanual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cat>
            <c:numRef>
              <c:f>'evolución anual viaj ent canari'!$B$8:$B$22</c:f>
              <c:numCache>
                <c:formatCode>General</c:formatCode>
                <c:ptCount val="1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  <c:pt idx="6">
                  <c:v>2018</c:v>
                </c:pt>
                <c:pt idx="7">
                  <c:v>2017</c:v>
                </c:pt>
                <c:pt idx="8">
                  <c:v>2016</c:v>
                </c:pt>
                <c:pt idx="9">
                  <c:v>2015</c:v>
                </c:pt>
                <c:pt idx="10">
                  <c:v>2014</c:v>
                </c:pt>
                <c:pt idx="11">
                  <c:v>2013</c:v>
                </c:pt>
                <c:pt idx="12">
                  <c:v>2012</c:v>
                </c:pt>
                <c:pt idx="13">
                  <c:v>2011</c:v>
                </c:pt>
                <c:pt idx="14">
                  <c:v>2010</c:v>
                </c:pt>
              </c:numCache>
            </c:numRef>
          </c:cat>
          <c:val>
            <c:numRef>
              <c:f>'evolución anual viaj ent canari'!$D$8:$D$22</c:f>
              <c:numCache>
                <c:formatCode>0.0%</c:formatCode>
                <c:ptCount val="15"/>
                <c:pt idx="0">
                  <c:v>-4.5390610150161548E-2</c:v>
                </c:pt>
                <c:pt idx="1">
                  <c:v>9.3899446916455354E-2</c:v>
                </c:pt>
                <c:pt idx="2">
                  <c:v>0.10606687824847061</c:v>
                </c:pt>
                <c:pt idx="3">
                  <c:v>0.74542389210019278</c:v>
                </c:pt>
                <c:pt idx="4">
                  <c:v>-0.51465087281795507</c:v>
                </c:pt>
                <c:pt idx="5">
                  <c:v>0.21153755369872074</c:v>
                </c:pt>
                <c:pt idx="6">
                  <c:v>-2.9260133354718998E-2</c:v>
                </c:pt>
                <c:pt idx="7">
                  <c:v>-1.5319705789449967E-2</c:v>
                </c:pt>
                <c:pt idx="8">
                  <c:v>-7.8276421411637487E-2</c:v>
                </c:pt>
                <c:pt idx="9">
                  <c:v>2.866555427202333E-2</c:v>
                </c:pt>
                <c:pt idx="10">
                  <c:v>7.1811803549318931E-2</c:v>
                </c:pt>
                <c:pt idx="11">
                  <c:v>0.18496984187360765</c:v>
                </c:pt>
                <c:pt idx="12">
                  <c:v>-0.35742593271530576</c:v>
                </c:pt>
                <c:pt idx="13">
                  <c:v>-0.25730326880437737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E-4F41-95F2-2E8AB8D0D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731263"/>
        <c:axId val="293743791"/>
      </c:lineChart>
      <c:catAx>
        <c:axId val="29373126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2683C6"/>
          </a:solidFill>
          <a:ln w="9525" cap="flat" cmpd="sng" algn="ctr">
            <a:solidFill>
              <a:srgbClr val="2683C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43791"/>
        <c:crosses val="autoZero"/>
        <c:auto val="1"/>
        <c:lblAlgn val="ctr"/>
        <c:lblOffset val="800"/>
        <c:noMultiLvlLbl val="0"/>
      </c:catAx>
      <c:valAx>
        <c:axId val="293743791"/>
        <c:scaling>
          <c:orientation val="minMax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3731263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70.xml"/><Relationship Id="rId7" Type="http://schemas.openxmlformats.org/officeDocument/2006/relationships/chart" Target="../charts/chart71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hyperlink" Target="#'Men&#250; principal'!A1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0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3.xml.rels><?xml version="1.0" encoding="UTF-8" standalone="yes"?>
<Relationships xmlns="http://schemas.openxmlformats.org/package/2006/relationships"><Relationship Id="rId3" Type="http://schemas.openxmlformats.org/officeDocument/2006/relationships/hyperlink" Target="#'Men&#250; principal'!A1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image" Target="../media/image6.png"/><Relationship Id="rId5" Type="http://schemas.openxmlformats.org/officeDocument/2006/relationships/chart" Target="../charts/chart75.xml"/><Relationship Id="rId4" Type="http://schemas.openxmlformats.org/officeDocument/2006/relationships/image" Target="../media/image5.jpeg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6.xml"/><Relationship Id="rId5" Type="http://schemas.openxmlformats.org/officeDocument/2006/relationships/chart" Target="../charts/chart77.xml"/><Relationship Id="rId4" Type="http://schemas.openxmlformats.org/officeDocument/2006/relationships/image" Target="../media/image6.png"/></Relationships>
</file>

<file path=xl/drawings/_rels/drawing1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78.xml"/><Relationship Id="rId5" Type="http://schemas.openxmlformats.org/officeDocument/2006/relationships/chart" Target="../charts/chart79.xml"/><Relationship Id="rId4" Type="http://schemas.openxmlformats.org/officeDocument/2006/relationships/image" Target="../media/image6.png"/></Relationships>
</file>

<file path=xl/drawings/_rels/drawing1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0.xml"/><Relationship Id="rId5" Type="http://schemas.openxmlformats.org/officeDocument/2006/relationships/chart" Target="../charts/chart81.xml"/><Relationship Id="rId4" Type="http://schemas.openxmlformats.org/officeDocument/2006/relationships/image" Target="../media/image6.png"/></Relationships>
</file>

<file path=xl/drawings/_rels/drawing1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2.xml"/><Relationship Id="rId6" Type="http://schemas.openxmlformats.org/officeDocument/2006/relationships/chart" Target="../charts/chart84.xml"/><Relationship Id="rId5" Type="http://schemas.openxmlformats.org/officeDocument/2006/relationships/image" Target="../media/image6.png"/><Relationship Id="rId4" Type="http://schemas.openxmlformats.org/officeDocument/2006/relationships/chart" Target="../charts/chart83.xml"/></Relationships>
</file>

<file path=xl/drawings/_rels/drawing1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5.xml"/><Relationship Id="rId6" Type="http://schemas.openxmlformats.org/officeDocument/2006/relationships/chart" Target="../charts/chart87.xml"/><Relationship Id="rId5" Type="http://schemas.openxmlformats.org/officeDocument/2006/relationships/image" Target="../media/image6.png"/><Relationship Id="rId4" Type="http://schemas.openxmlformats.org/officeDocument/2006/relationships/chart" Target="../charts/chart86.xml"/></Relationships>
</file>

<file path=xl/drawings/_rels/drawing1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'Men&#250; principal'!A1"/><Relationship Id="rId1" Type="http://schemas.openxmlformats.org/officeDocument/2006/relationships/chart" Target="../charts/chart88.xml"/><Relationship Id="rId6" Type="http://schemas.openxmlformats.org/officeDocument/2006/relationships/chart" Target="../charts/chart90.xml"/><Relationship Id="rId5" Type="http://schemas.openxmlformats.org/officeDocument/2006/relationships/image" Target="../media/image6.png"/><Relationship Id="rId4" Type="http://schemas.openxmlformats.org/officeDocument/2006/relationships/chart" Target="../charts/chart89.xml"/></Relationships>
</file>

<file path=xl/drawings/_rels/drawing1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1.xml"/><Relationship Id="rId4" Type="http://schemas.openxmlformats.org/officeDocument/2006/relationships/image" Target="../media/image2.png"/></Relationships>
</file>

<file path=xl/drawings/_rels/drawing1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2.xml"/><Relationship Id="rId4" Type="http://schemas.openxmlformats.org/officeDocument/2006/relationships/image" Target="../media/image2.png"/></Relationships>
</file>

<file path=xl/drawings/_rels/drawing1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93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image" Target="../media/image3.png"/><Relationship Id="rId7" Type="http://schemas.openxmlformats.org/officeDocument/2006/relationships/chart" Target="../charts/chart17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14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19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5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7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Relationship Id="rId4" Type="http://schemas.openxmlformats.org/officeDocument/2006/relationships/chart" Target="../charts/chart29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Men&#250; principal'!A1"/><Relationship Id="rId1" Type="http://schemas.openxmlformats.org/officeDocument/2006/relationships/chart" Target="../charts/chart30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13" Type="http://schemas.openxmlformats.org/officeDocument/2006/relationships/chart" Target="../charts/chart42.xml"/><Relationship Id="rId3" Type="http://schemas.openxmlformats.org/officeDocument/2006/relationships/image" Target="../media/image3.png"/><Relationship Id="rId7" Type="http://schemas.openxmlformats.org/officeDocument/2006/relationships/chart" Target="../charts/chart36.xml"/><Relationship Id="rId12" Type="http://schemas.openxmlformats.org/officeDocument/2006/relationships/chart" Target="../charts/chart41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33.xml"/><Relationship Id="rId6" Type="http://schemas.openxmlformats.org/officeDocument/2006/relationships/chart" Target="../charts/chart35.xml"/><Relationship Id="rId11" Type="http://schemas.openxmlformats.org/officeDocument/2006/relationships/chart" Target="../charts/chart40.xml"/><Relationship Id="rId5" Type="http://schemas.openxmlformats.org/officeDocument/2006/relationships/chart" Target="../charts/chart34.xml"/><Relationship Id="rId15" Type="http://schemas.openxmlformats.org/officeDocument/2006/relationships/chart" Target="../charts/chart44.xml"/><Relationship Id="rId10" Type="http://schemas.openxmlformats.org/officeDocument/2006/relationships/chart" Target="../charts/chart39.xml"/><Relationship Id="rId4" Type="http://schemas.openxmlformats.org/officeDocument/2006/relationships/image" Target="../media/image2.png"/><Relationship Id="rId9" Type="http://schemas.openxmlformats.org/officeDocument/2006/relationships/chart" Target="../charts/chart38.xml"/><Relationship Id="rId14" Type="http://schemas.openxmlformats.org/officeDocument/2006/relationships/chart" Target="../charts/chart4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image" Target="../media/image3.png"/><Relationship Id="rId7" Type="http://schemas.openxmlformats.org/officeDocument/2006/relationships/chart" Target="../charts/chart48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45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image" Target="../media/image2.png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7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#'Men&#250; principal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13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2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13" Type="http://schemas.openxmlformats.org/officeDocument/2006/relationships/chart" Target="../charts/chart59.xml"/><Relationship Id="rId3" Type="http://schemas.openxmlformats.org/officeDocument/2006/relationships/image" Target="../media/image3.png"/><Relationship Id="rId7" Type="http://schemas.openxmlformats.org/officeDocument/2006/relationships/chart" Target="../charts/chart53.xml"/><Relationship Id="rId12" Type="http://schemas.openxmlformats.org/officeDocument/2006/relationships/chart" Target="../charts/chart58.xml"/><Relationship Id="rId2" Type="http://schemas.openxmlformats.org/officeDocument/2006/relationships/hyperlink" Target="#'Men&#250; principal'!A1"/><Relationship Id="rId16" Type="http://schemas.openxmlformats.org/officeDocument/2006/relationships/chart" Target="../charts/chart62.xml"/><Relationship Id="rId1" Type="http://schemas.openxmlformats.org/officeDocument/2006/relationships/chart" Target="../charts/chart50.xml"/><Relationship Id="rId6" Type="http://schemas.openxmlformats.org/officeDocument/2006/relationships/chart" Target="../charts/chart52.xml"/><Relationship Id="rId11" Type="http://schemas.openxmlformats.org/officeDocument/2006/relationships/chart" Target="../charts/chart57.xml"/><Relationship Id="rId5" Type="http://schemas.openxmlformats.org/officeDocument/2006/relationships/chart" Target="../charts/chart51.xml"/><Relationship Id="rId15" Type="http://schemas.openxmlformats.org/officeDocument/2006/relationships/chart" Target="../charts/chart61.xml"/><Relationship Id="rId10" Type="http://schemas.openxmlformats.org/officeDocument/2006/relationships/chart" Target="../charts/chart56.xml"/><Relationship Id="rId4" Type="http://schemas.openxmlformats.org/officeDocument/2006/relationships/image" Target="../media/image2.png"/><Relationship Id="rId9" Type="http://schemas.openxmlformats.org/officeDocument/2006/relationships/chart" Target="../charts/chart55.xml"/><Relationship Id="rId14" Type="http://schemas.openxmlformats.org/officeDocument/2006/relationships/chart" Target="../charts/chart60.xml"/></Relationships>
</file>

<file path=xl/drawings/_rels/drawing9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image" Target="../media/image3.png"/><Relationship Id="rId7" Type="http://schemas.openxmlformats.org/officeDocument/2006/relationships/chart" Target="../charts/chart66.xml"/><Relationship Id="rId2" Type="http://schemas.openxmlformats.org/officeDocument/2006/relationships/hyperlink" Target="#'Men&#250; principal'!A1"/><Relationship Id="rId1" Type="http://schemas.openxmlformats.org/officeDocument/2006/relationships/chart" Target="../charts/chart63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5934075</xdr:colOff>
      <xdr:row>1</xdr:row>
      <xdr:rowOff>171450</xdr:rowOff>
    </xdr:from>
    <xdr:to>
      <xdr:col>1</xdr:col>
      <xdr:colOff>9159636</xdr:colOff>
      <xdr:row>3</xdr:row>
      <xdr:rowOff>131340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CEDF4E-F5A0-4737-B293-6B9360108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361950"/>
          <a:ext cx="3225561" cy="87429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españoles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apartamentos de Arona</a:t>
          </a:fld>
          <a:endParaRPr lang="es-ES" sz="1100"/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</xdr:row>
      <xdr:rowOff>123825</xdr:rowOff>
    </xdr:from>
    <xdr:to>
      <xdr:col>10</xdr:col>
      <xdr:colOff>609600</xdr:colOff>
      <xdr:row>24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34CC2A1-A36C-4292-8C85-E2C8E06BCCC8}"/>
            </a:ext>
          </a:extLst>
        </xdr:cNvPr>
        <xdr:cNvGrpSpPr/>
      </xdr:nvGrpSpPr>
      <xdr:grpSpPr>
        <a:xfrm>
          <a:off x="457200" y="3143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A7CEA1F-5170-5664-5F46-2206530641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9FF672B9-B854-9B33-E6E0-5E24063C75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Tasa de ocupación por plaza en hoteles y apartamentos</a:t>
            </a:r>
          </a:p>
        </xdr:txBody>
      </xdr:sp>
    </xdr:grpSp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704849</xdr:colOff>
      <xdr:row>3</xdr:row>
      <xdr:rowOff>104774</xdr:rowOff>
    </xdr:from>
    <xdr:to>
      <xdr:col>25</xdr:col>
      <xdr:colOff>621899</xdr:colOff>
      <xdr:row>22</xdr:row>
      <xdr:rowOff>167099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8DDA41-3991-4BFA-9E02-9A62C5658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91</xdr:row>
      <xdr:rowOff>419099</xdr:rowOff>
    </xdr:from>
    <xdr:to>
      <xdr:col>26</xdr:col>
      <xdr:colOff>126599</xdr:colOff>
      <xdr:row>112</xdr:row>
      <xdr:rowOff>100424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C48F220-FDD8-44E8-91CB-768FD9A08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228599</xdr:colOff>
      <xdr:row>69</xdr:row>
      <xdr:rowOff>419099</xdr:rowOff>
    </xdr:from>
    <xdr:to>
      <xdr:col>26</xdr:col>
      <xdr:colOff>126599</xdr:colOff>
      <xdr:row>90</xdr:row>
      <xdr:rowOff>100424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589B7DEF-47EA-4A96-869F-87473381D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19050</xdr:rowOff>
    </xdr:from>
    <xdr:to>
      <xdr:col>0</xdr:col>
      <xdr:colOff>857250</xdr:colOff>
      <xdr:row>4</xdr:row>
      <xdr:rowOff>59055</xdr:rowOff>
    </xdr:to>
    <xdr:pic>
      <xdr:nvPicPr>
        <xdr:cNvPr id="5" name="Imagen 4" descr="Iconos Png Gratis Resume Volver Icono Descarga Gratuita - Pump ...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C18413-A001-456F-B812-72BE99A7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85800"/>
          <a:ext cx="771525" cy="6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34571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B0E4EEA-B524-4A50-8E3E-4487B0080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904875</xdr:colOff>
      <xdr:row>24</xdr:row>
      <xdr:rowOff>180975</xdr:rowOff>
    </xdr:from>
    <xdr:to>
      <xdr:col>26</xdr:col>
      <xdr:colOff>59925</xdr:colOff>
      <xdr:row>46</xdr:row>
      <xdr:rowOff>14700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4BB2EA3-77AB-4A10-AC29-62312AE4D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838200</xdr:colOff>
      <xdr:row>47</xdr:row>
      <xdr:rowOff>114300</xdr:rowOff>
    </xdr:from>
    <xdr:to>
      <xdr:col>25</xdr:col>
      <xdr:colOff>755250</xdr:colOff>
      <xdr:row>68</xdr:row>
      <xdr:rowOff>138525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F51D128-0BD2-4F11-A672-4F8E165DE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0.00447</cdr:x>
      <cdr:y>0.00849</cdr:y>
    </cdr:from>
    <cdr:to>
      <cdr:x>0.9787</cdr:x>
      <cdr:y>0.17668</cdr:y>
    </cdr:to>
    <cdr:sp macro="" textlink="'tasa de ocupación evol mens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8100" y="35308"/>
          <a:ext cx="8307892" cy="6993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6CFC90-4DF6-4210-BB46-D250B73FFBF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establecimientos alojativos de Arona
(hotel + apartamento)</a:t>
          </a:fld>
          <a:endParaRPr lang="es-ES" sz="1100"/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22729FC-E7B2-4A0C-AAE8-8BF44637D087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apartamentos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#REF!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5FA83AF-8EEE-4570-A963-F3AE91B89BED}" type="TxLink">
            <a:rPr lang="en-US" sz="1600" b="1" i="0" u="none" strike="noStrike">
              <a:solidFill>
                <a:srgbClr val="595959"/>
              </a:solidFill>
              <a:latin typeface="Calibri"/>
              <a:cs typeface="Calibri"/>
            </a:rPr>
            <a:pPr/>
            <a:t>Tasa de ocupación en los hoteles de 4 estrellas de Tenerife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8277B92F-191F-48A0-813B-24B2E6B2EF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Arona</a:t>
          </a:fld>
          <a:endParaRPr lang="es-ES" sz="1100"/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tasa de ocupación evol mens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50D8823-FBC2-4B03-A811-E1EE0E7E4A1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Tasa de ocupación por plaza en los hoteles de 4, 5 Estrellas de Arona</a:t>
          </a:fld>
          <a:endParaRPr lang="es-ES" sz="1100"/>
        </a:p>
      </cdr:txBody>
    </cdr:sp>
  </cdr:relSizeAnchor>
</c:userShapes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6CF8902-9056-4E59-A22D-8DA5FE5679FA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233DF6C-6F5B-3E3D-9177-6C937E1065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E518191A-6F42-83D3-8E57-E2A87A0DA2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Indicadores de rentabilidad alojativa</a:t>
            </a:r>
          </a:p>
        </xdr:txBody>
      </xdr:sp>
    </xdr:grpSp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66676</xdr:rowOff>
    </xdr:from>
    <xdr:to>
      <xdr:col>0</xdr:col>
      <xdr:colOff>838200</xdr:colOff>
      <xdr:row>4</xdr:row>
      <xdr:rowOff>257176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9FE513-824F-4516-98AC-063DF3CE4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9601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480A0A-DF02-4372-82CA-02C46DD3A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peninsulares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7ACA4B-D180-4810-9F0F-0E65C6A09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6E703F-369C-416C-9877-EEB28DB31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8AD8ED3-6DD8-4F5A-80EC-87BA5A64B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F832E7-DFD3-4381-889F-E2B4B911D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336629-07A8-4F57-8085-977D32505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A455D4-4CFA-4416-88BE-313660A12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10</xdr:col>
      <xdr:colOff>495300</xdr:colOff>
      <xdr:row>24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0FCC463-FFAC-44BF-BEB6-1D59CD8602A3}"/>
            </a:ext>
          </a:extLst>
        </xdr:cNvPr>
        <xdr:cNvGrpSpPr/>
      </xdr:nvGrpSpPr>
      <xdr:grpSpPr>
        <a:xfrm>
          <a:off x="342900" y="3810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8CA95C6-160D-6B69-E43A-9CFB485B95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F2365190-7F78-4C27-1A54-02C8D81E92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españoles</a:t>
            </a:r>
          </a:p>
        </xdr:txBody>
      </xdr:sp>
    </xdr:grpSp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1060453</xdr:colOff>
      <xdr:row>14</xdr:row>
      <xdr:rowOff>38100</xdr:rowOff>
    </xdr:from>
    <xdr:to>
      <xdr:col>6</xdr:col>
      <xdr:colOff>705803</xdr:colOff>
      <xdr:row>35</xdr:row>
      <xdr:rowOff>120967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BBB3E486-117D-4875-A9C7-6D3BC97D8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7</xdr:col>
      <xdr:colOff>448944</xdr:colOff>
      <xdr:row>13</xdr:row>
      <xdr:rowOff>73025</xdr:rowOff>
    </xdr:from>
    <xdr:to>
      <xdr:col>14</xdr:col>
      <xdr:colOff>369570</xdr:colOff>
      <xdr:row>30</xdr:row>
      <xdr:rowOff>135890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8E4B43C5-868C-460A-BFEB-FD725185D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659130</xdr:colOff>
      <xdr:row>1</xdr:row>
      <xdr:rowOff>152400</xdr:rowOff>
    </xdr:to>
    <xdr:pic>
      <xdr:nvPicPr>
        <xdr:cNvPr id="4" name="4 Imagen" descr="https://encrypted-tbn3.gstatic.com/images?q=tbn:ANd9GcS9dv_h_mgRl4NU7cIhTzv3MoOn0ZiT6qdeiJWxJuzUuUnUnoR-">
          <a:hlinkClick xmlns:r="http://schemas.openxmlformats.org/officeDocument/2006/relationships" r:id="rId3" tooltip="Ir al índice"/>
          <a:extLst>
            <a:ext uri="{FF2B5EF4-FFF2-40B4-BE49-F238E27FC236}">
              <a16:creationId xmlns:a16="http://schemas.microsoft.com/office/drawing/2014/main" id="{A6407ED2-C631-41C6-AEFB-57D580323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16900" y="38100"/>
          <a:ext cx="49720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14</xdr:row>
      <xdr:rowOff>95250</xdr:rowOff>
    </xdr:from>
    <xdr:ext cx="9191626" cy="4545000"/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57AE6F2A-18D6-42F5-B14E-B784594E9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597195</xdr:colOff>
      <xdr:row>1</xdr:row>
      <xdr:rowOff>102870</xdr:rowOff>
    </xdr:to>
    <xdr:pic>
      <xdr:nvPicPr>
        <xdr:cNvPr id="6" name="Imagen 5">
          <a:hlinkClick xmlns:r="http://schemas.openxmlformats.org/officeDocument/2006/relationships" r:id="rId3" tooltip="Volver al menú principal"/>
          <a:extLst>
            <a:ext uri="{FF2B5EF4-FFF2-40B4-BE49-F238E27FC236}">
              <a16:creationId xmlns:a16="http://schemas.microsoft.com/office/drawing/2014/main" id="{C5C2A729-6156-4AA6-92A2-F78F47DF2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8295" cy="483870"/>
        </a:xfrm>
        <a:prstGeom prst="rect">
          <a:avLst/>
        </a:prstGeom>
      </xdr:spPr>
    </xdr:pic>
    <xdr:clientData/>
  </xdr:twoCell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</cdr:x>
      <cdr:y>0.93842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31758F8E-4084-474F-8EDA-80184F875402}"/>
            </a:ext>
          </a:extLst>
        </cdr:cNvPr>
        <cdr:cNvSpPr txBox="1"/>
      </cdr:nvSpPr>
      <cdr:spPr>
        <a:xfrm xmlns:a="http://schemas.openxmlformats.org/drawingml/2006/main">
          <a:off x="0" y="3048001"/>
          <a:ext cx="5472113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rPr>
            <a:t>Insular</a:t>
          </a:r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 de Tenerife. ELABORACIÓN: Turismo de Tenerife </a:t>
          </a:r>
        </a:p>
      </cdr:txBody>
    </cdr:sp>
  </cdr:relSizeAnchor>
  <cdr:relSizeAnchor xmlns:cdr="http://schemas.openxmlformats.org/drawingml/2006/chartDrawing">
    <cdr:from>
      <cdr:x>0.39564</cdr:x>
      <cdr:y>0.35377</cdr:y>
    </cdr:from>
    <cdr:to>
      <cdr:x>0.91656</cdr:x>
      <cdr:y>0.48035</cdr:y>
    </cdr:to>
    <cdr:sp macro="" textlink="">
      <cdr:nvSpPr>
        <cdr:cNvPr id="6" name="Cerrar llave 5">
          <a:extLst xmlns:a="http://schemas.openxmlformats.org/drawingml/2006/main">
            <a:ext uri="{FF2B5EF4-FFF2-40B4-BE49-F238E27FC236}">
              <a16:creationId xmlns:a16="http://schemas.microsoft.com/office/drawing/2014/main" id="{469DACD7-1EE4-4E55-BAAA-E095C61962BC}"/>
            </a:ext>
          </a:extLst>
        </cdr:cNvPr>
        <cdr:cNvSpPr/>
      </cdr:nvSpPr>
      <cdr:spPr>
        <a:xfrm xmlns:a="http://schemas.openxmlformats.org/drawingml/2006/main" rot="16200000">
          <a:off x="4003280" y="-193004"/>
          <a:ext cx="450922" cy="3357458"/>
        </a:xfrm>
        <a:prstGeom xmlns:a="http://schemas.openxmlformats.org/drawingml/2006/main" prst="rightBrace">
          <a:avLst>
            <a:gd name="adj1" fmla="val 8333"/>
            <a:gd name="adj2" fmla="val 46363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0.43619</cdr:x>
      <cdr:y>0.15305</cdr:y>
    </cdr:from>
    <cdr:to>
      <cdr:x>0.82762</cdr:x>
      <cdr:y>0.25178</cdr:y>
    </cdr:to>
    <cdr:sp macro="" textlink="">
      <cdr:nvSpPr>
        <cdr:cNvPr id="7" name="CuadroTexto 3">
          <a:extLst xmlns:a="http://schemas.openxmlformats.org/drawingml/2006/main">
            <a:ext uri="{FF2B5EF4-FFF2-40B4-BE49-F238E27FC236}">
              <a16:creationId xmlns:a16="http://schemas.microsoft.com/office/drawing/2014/main" id="{277374B0-BFCC-495F-8F00-B86CEDAE30F1}"/>
            </a:ext>
          </a:extLst>
        </cdr:cNvPr>
        <cdr:cNvSpPr txBox="1"/>
      </cdr:nvSpPr>
      <cdr:spPr>
        <a:xfrm xmlns:a="http://schemas.openxmlformats.org/drawingml/2006/main">
          <a:off x="2811353" y="545212"/>
          <a:ext cx="2522863" cy="35171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Total</a:t>
          </a:r>
          <a:r>
            <a:rPr lang="es-ES" sz="1600" b="1" baseline="0">
              <a:solidFill>
                <a:schemeClr val="tx1">
                  <a:lumMod val="65000"/>
                  <a:lumOff val="35000"/>
                </a:schemeClr>
              </a:solidFill>
            </a:rPr>
            <a:t> turismo canario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0.57735</cdr:x>
      <cdr:y>0.27208</cdr:y>
    </cdr:from>
    <cdr:to>
      <cdr:x>0.68978</cdr:x>
      <cdr:y>0.33541</cdr:y>
    </cdr:to>
    <cdr:sp macro="" textlink="'distribución españoles x Resid'!$O$9">
      <cdr:nvSpPr>
        <cdr:cNvPr id="8" name="CuadroTexto 3">
          <a:extLst xmlns:a="http://schemas.openxmlformats.org/drawingml/2006/main">
            <a:ext uri="{FF2B5EF4-FFF2-40B4-BE49-F238E27FC236}">
              <a16:creationId xmlns:a16="http://schemas.microsoft.com/office/drawing/2014/main" id="{4C9EE597-C83C-44F2-B4A3-633066BB0BF2}"/>
            </a:ext>
          </a:extLst>
        </cdr:cNvPr>
        <cdr:cNvSpPr txBox="1"/>
      </cdr:nvSpPr>
      <cdr:spPr>
        <a:xfrm xmlns:a="http://schemas.openxmlformats.org/drawingml/2006/main">
          <a:off x="3817377" y="1110490"/>
          <a:ext cx="743379" cy="258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accent3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8EB6A94-6C61-4F4A-B0DF-7DBBFCDFD143}" type="TxLink">
            <a:rPr lang="en-US" sz="1200" b="1" i="0" u="none" strike="noStrike">
              <a:solidFill>
                <a:schemeClr val="accent3"/>
              </a:solidFill>
              <a:latin typeface="Calibri"/>
              <a:ea typeface="Calibri"/>
              <a:cs typeface="Calibri"/>
            </a:rPr>
            <a:pPr algn="ctr"/>
            <a:t>2,4%</a:t>
          </a:fld>
          <a:endParaRPr lang="es-ES" sz="1400" b="1">
            <a:solidFill>
              <a:schemeClr val="accent3"/>
            </a:solidFill>
          </a:endParaRPr>
        </a:p>
      </cdr:txBody>
    </cdr:sp>
  </cdr:relSizeAnchor>
  <cdr:relSizeAnchor xmlns:cdr="http://schemas.openxmlformats.org/drawingml/2006/chartDrawing">
    <cdr:from>
      <cdr:x>0.56188</cdr:x>
      <cdr:y>0.21162</cdr:y>
    </cdr:from>
    <cdr:to>
      <cdr:x>0.70176</cdr:x>
      <cdr:y>0.28983</cdr:y>
    </cdr:to>
    <cdr:sp macro="" textlink="'distribución españoles x Resid'!$N$9">
      <cdr:nvSpPr>
        <cdr:cNvPr id="9" name="CuadroTexto 3">
          <a:extLst xmlns:a="http://schemas.openxmlformats.org/drawingml/2006/main">
            <a:ext uri="{FF2B5EF4-FFF2-40B4-BE49-F238E27FC236}">
              <a16:creationId xmlns:a16="http://schemas.microsoft.com/office/drawing/2014/main" id="{B06674D6-B1FE-43AA-BD4E-1158A6AF831A}"/>
            </a:ext>
          </a:extLst>
        </cdr:cNvPr>
        <cdr:cNvSpPr txBox="1"/>
      </cdr:nvSpPr>
      <cdr:spPr>
        <a:xfrm xmlns:a="http://schemas.openxmlformats.org/drawingml/2006/main">
          <a:off x="3621442" y="753872"/>
          <a:ext cx="901561" cy="278611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DFE3520-A142-44BE-949C-98BD71D40043}" type="TxLink">
            <a:rPr lang="en-US" sz="14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 algn="ctr"/>
            <a:t>51.408</a:t>
          </a:fld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0.70672</cdr:x>
      <cdr:y>0.26753</cdr:y>
    </cdr:from>
    <cdr:to>
      <cdr:x>0.82251</cdr:x>
      <cdr:y>0.33257</cdr:y>
    </cdr:to>
    <cdr:sp macro="" textlink="'distribución españoles x Resid'!$S$9">
      <cdr:nvSpPr>
        <cdr:cNvPr id="16" name="CuadroTexto 15">
          <a:extLst xmlns:a="http://schemas.openxmlformats.org/drawingml/2006/main">
            <a:ext uri="{FF2B5EF4-FFF2-40B4-BE49-F238E27FC236}">
              <a16:creationId xmlns:a16="http://schemas.microsoft.com/office/drawing/2014/main" id="{35529699-B5DE-4E82-9402-691AEDFDDCDC}"/>
            </a:ext>
          </a:extLst>
        </cdr:cNvPr>
        <cdr:cNvSpPr txBox="1"/>
      </cdr:nvSpPr>
      <cdr:spPr>
        <a:xfrm xmlns:a="http://schemas.openxmlformats.org/drawingml/2006/main">
          <a:off x="4672792" y="1091930"/>
          <a:ext cx="765596" cy="26545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3A6F43F-5657-4BB1-A66C-84C7CA060AD7}" type="TxLink">
            <a:rPr lang="en-US" sz="1100" b="1" i="0" u="none" strike="noStrike">
              <a:solidFill>
                <a:schemeClr val="bg1">
                  <a:lumMod val="65000"/>
                </a:schemeClr>
              </a:solidFill>
              <a:latin typeface="Calibri"/>
              <a:ea typeface="Calibri"/>
              <a:cs typeface="Calibri"/>
            </a:rPr>
            <a:pPr algn="ctr"/>
            <a:t>43,5%</a:t>
          </a:fld>
          <a:endParaRPr lang="es-ES" sz="1200">
            <a:solidFill>
              <a:schemeClr val="bg1">
                <a:lumMod val="6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0.17381</cdr:y>
    </cdr:to>
    <cdr:sp macro="" textlink="'distribución españoles x Resid'!$B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55D3B39E-6851-4C36-B8B6-6CD68DC2EBAC}"/>
            </a:ext>
          </a:extLst>
        </cdr:cNvPr>
        <cdr:cNvSpPr txBox="1"/>
      </cdr:nvSpPr>
      <cdr:spPr>
        <a:xfrm xmlns:a="http://schemas.openxmlformats.org/drawingml/2006/main">
          <a:off x="0" y="0"/>
          <a:ext cx="6611935" cy="6762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CF2B8F0-D7E4-4DC8-B136-07E75A981FB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Arona según lugar de residencia</a:t>
          </a:fld>
          <a:endParaRPr lang="es-ES" sz="180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</cdr:x>
      <cdr:y>0.93407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3238501"/>
          <a:ext cx="5472113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0.0087</cdr:x>
      <cdr:y>0</cdr:y>
    </cdr:from>
    <cdr:to>
      <cdr:x>0.99216</cdr:x>
      <cdr:y>0.2219</cdr:y>
    </cdr:to>
    <cdr:sp macro="" textlink="'distribución españoles x Resid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57150" y="0"/>
          <a:ext cx="6460423" cy="732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Arona  por lugar de residencia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0.70361</cdr:x>
      <cdr:y>0.21422</cdr:y>
    </cdr:from>
    <cdr:to>
      <cdr:x>0.75287</cdr:x>
      <cdr:y>0.88569</cdr:y>
    </cdr:to>
    <cdr:sp macro="" textlink="">
      <cdr:nvSpPr>
        <cdr:cNvPr id="9" name="Cerrar llave 8">
          <a:extLst xmlns:a="http://schemas.openxmlformats.org/drawingml/2006/main">
            <a:ext uri="{FF2B5EF4-FFF2-40B4-BE49-F238E27FC236}">
              <a16:creationId xmlns:a16="http://schemas.microsoft.com/office/drawing/2014/main" id="{86FD90C6-C671-486D-8C54-9121492BC7EB}"/>
            </a:ext>
          </a:extLst>
        </cdr:cNvPr>
        <cdr:cNvSpPr/>
      </cdr:nvSpPr>
      <cdr:spPr>
        <a:xfrm xmlns:a="http://schemas.openxmlformats.org/drawingml/2006/main">
          <a:off x="5441950" y="708025"/>
          <a:ext cx="381000" cy="2219325"/>
        </a:xfrm>
        <a:prstGeom xmlns:a="http://schemas.openxmlformats.org/drawingml/2006/main" prst="rightBrace">
          <a:avLst>
            <a:gd name="adj1" fmla="val 8333"/>
            <a:gd name="adj2" fmla="val 29829"/>
          </a:avLst>
        </a:prstGeom>
        <a:ln xmlns:a="http://schemas.openxmlformats.org/drawingml/2006/main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0.75237</cdr:x>
      <cdr:y>0.25456</cdr:y>
    </cdr:from>
    <cdr:to>
      <cdr:x>0.99397</cdr:x>
      <cdr:y>0.53122</cdr:y>
    </cdr:to>
    <cdr:grpSp>
      <cdr:nvGrpSpPr>
        <cdr:cNvPr id="19" name="Grupo 18">
          <a:extLst xmlns:a="http://schemas.openxmlformats.org/drawingml/2006/main">
            <a:ext uri="{FF2B5EF4-FFF2-40B4-BE49-F238E27FC236}">
              <a16:creationId xmlns:a16="http://schemas.microsoft.com/office/drawing/2014/main" id="{43E73BE4-588E-45DC-B07F-87A1D48D6B98}"/>
            </a:ext>
          </a:extLst>
        </cdr:cNvPr>
        <cdr:cNvGrpSpPr/>
      </cdr:nvGrpSpPr>
      <cdr:grpSpPr>
        <a:xfrm xmlns:a="http://schemas.openxmlformats.org/drawingml/2006/main">
          <a:off x="4942376" y="840395"/>
          <a:ext cx="1587088" cy="913356"/>
          <a:chOff x="-118136" y="-50384"/>
          <a:chExt cx="1768394" cy="546907"/>
        </a:xfrm>
      </cdr:grpSpPr>
      <cdr:sp macro="" textlink="">
        <cdr:nvSpPr>
          <cdr:cNvPr id="23" name="CuadroTexto 3">
            <a:extLst xmlns:a="http://schemas.openxmlformats.org/drawingml/2006/main">
              <a:ext uri="{FF2B5EF4-FFF2-40B4-BE49-F238E27FC236}">
                <a16:creationId xmlns:a16="http://schemas.microsoft.com/office/drawing/2014/main" id="{C5AD8BF3-D5DB-43D7-800F-DEA9B011B08C}"/>
              </a:ext>
            </a:extLst>
          </cdr:cNvPr>
          <cdr:cNvSpPr txBox="1"/>
        </cdr:nvSpPr>
        <cdr:spPr>
          <a:xfrm xmlns:a="http://schemas.openxmlformats.org/drawingml/2006/main">
            <a:off x="-118136" y="-50384"/>
            <a:ext cx="1768394" cy="546907"/>
          </a:xfrm>
          <a:prstGeom xmlns:a="http://schemas.openxmlformats.org/drawingml/2006/main" prst="rect">
            <a:avLst/>
          </a:prstGeom>
          <a:ln xmlns:a="http://schemas.openxmlformats.org/drawingml/2006/main">
            <a:solidFill>
              <a:schemeClr val="bg1">
                <a:lumMod val="50000"/>
              </a:schemeClr>
            </a:solidFill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s-ES" sz="1400" b="1">
                <a:solidFill>
                  <a:schemeClr val="tx1">
                    <a:lumMod val="65000"/>
                    <a:lumOff val="35000"/>
                  </a:schemeClr>
                </a:solidFill>
              </a:rPr>
              <a:t>Total</a:t>
            </a:r>
            <a:r>
              <a:rPr lang="es-ES" sz="1400" b="1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turismo canario</a:t>
            </a:r>
            <a:endParaRPr lang="es-ES" sz="1400" b="1">
              <a:solidFill>
                <a:schemeClr val="tx1">
                  <a:lumMod val="65000"/>
                  <a:lumOff val="35000"/>
                </a:schemeClr>
              </a:solidFill>
            </a:endParaRPr>
          </a:p>
        </cdr:txBody>
      </cdr:sp>
      <cdr:sp macro="" textlink="'distribución españoles x Resid'!$N$9">
        <cdr:nvSpPr>
          <cdr:cNvPr id="24" name="CuadroTexto 4">
            <a:extLst xmlns:a="http://schemas.openxmlformats.org/drawingml/2006/main">
              <a:ext uri="{FF2B5EF4-FFF2-40B4-BE49-F238E27FC236}">
                <a16:creationId xmlns:a16="http://schemas.microsoft.com/office/drawing/2014/main" id="{7BF59A4D-C9D0-46F6-A505-3100DBB18C12}"/>
              </a:ext>
            </a:extLst>
          </cdr:cNvPr>
          <cdr:cNvSpPr txBox="1"/>
        </cdr:nvSpPr>
        <cdr:spPr>
          <a:xfrm xmlns:a="http://schemas.openxmlformats.org/drawingml/2006/main">
            <a:off x="269366" y="246761"/>
            <a:ext cx="958037" cy="17989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/>
            <a:fld id="{412286F5-1A05-47E0-97D1-52FF465F2855}" type="TxLink">
              <a:rPr lang="en-US" sz="1600" b="1" i="0" u="none" strike="noStrike">
                <a:solidFill>
                  <a:srgbClr val="7B8279"/>
                </a:solidFill>
                <a:latin typeface="Calibri"/>
                <a:ea typeface="Calibri"/>
                <a:cs typeface="Calibri"/>
              </a:rPr>
              <a:pPr marL="0" indent="0" algn="ctr"/>
              <a:t>51.408</a:t>
            </a:fld>
            <a:endParaRPr lang="es-ES" sz="2000" b="1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0.73929</cdr:x>
      <cdr:y>0.56868</cdr:y>
    </cdr:from>
    <cdr:to>
      <cdr:x>0.99304</cdr:x>
      <cdr:y>0.84945</cdr:y>
    </cdr:to>
    <cdr:grpSp>
      <cdr:nvGrpSpPr>
        <cdr:cNvPr id="2" name="Grupo 1">
          <a:extLst xmlns:a="http://schemas.openxmlformats.org/drawingml/2006/main">
            <a:ext uri="{FF2B5EF4-FFF2-40B4-BE49-F238E27FC236}">
              <a16:creationId xmlns:a16="http://schemas.microsoft.com/office/drawing/2014/main" id="{4D63E92D-ACB2-45A8-BCA5-E07887F3BD29}"/>
            </a:ext>
          </a:extLst>
        </cdr:cNvPr>
        <cdr:cNvGrpSpPr/>
      </cdr:nvGrpSpPr>
      <cdr:grpSpPr>
        <a:xfrm xmlns:a="http://schemas.openxmlformats.org/drawingml/2006/main">
          <a:off x="4856452" y="1877420"/>
          <a:ext cx="1666903" cy="926924"/>
          <a:chOff x="4210084" y="1879587"/>
          <a:chExt cx="1581328" cy="927994"/>
        </a:xfrm>
      </cdr:grpSpPr>
      <cdr:sp macro="" textlink="">
        <cdr:nvSpPr>
          <cdr:cNvPr id="21" name="4 CuadroTexto">
            <a:extLst xmlns:a="http://schemas.openxmlformats.org/drawingml/2006/main">
              <a:ext uri="{FF2B5EF4-FFF2-40B4-BE49-F238E27FC236}">
                <a16:creationId xmlns:a16="http://schemas.microsoft.com/office/drawing/2014/main" id="{5DDA589D-22D4-4B16-B090-802F84D0510E}"/>
              </a:ext>
            </a:extLst>
          </cdr:cNvPr>
          <cdr:cNvSpPr txBox="1"/>
        </cdr:nvSpPr>
        <cdr:spPr>
          <a:xfrm xmlns:a="http://schemas.openxmlformats.org/drawingml/2006/main">
            <a:off x="4210084" y="1879587"/>
            <a:ext cx="1581328" cy="927994"/>
          </a:xfrm>
          <a:prstGeom xmlns:a="http://schemas.openxmlformats.org/drawingml/2006/main" prst="rect">
            <a:avLst/>
          </a:prstGeom>
          <a:ln xmlns:a="http://schemas.openxmlformats.org/drawingml/2006/main" w="3175">
            <a:solidFill>
              <a:schemeClr val="accent1"/>
            </a:solidFill>
          </a:ln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Turismo Canario</a:t>
            </a:r>
          </a:p>
          <a:p xmlns:a="http://schemas.openxmlformats.org/drawingml/2006/main">
            <a:pPr marL="0" indent="0" algn="ctr">
              <a:lnSpc>
                <a:spcPct val="100000"/>
              </a:lnSpc>
            </a:pPr>
            <a:r>
              <a:rPr lang="es-ES" sz="1400" b="1" i="0" u="none" strike="noStrike" dirty="0">
                <a:solidFill>
                  <a:schemeClr val="accent2"/>
                </a:solidFill>
                <a:latin typeface="Calibri"/>
                <a:ea typeface="+mn-ea"/>
                <a:cs typeface="+mn-cs"/>
              </a:rPr>
              <a:t> </a:t>
            </a:r>
          </a:p>
        </cdr:txBody>
      </cdr:sp>
      <cdr:sp macro="" textlink="'distribución españoles x Resid'!$S$9">
        <cdr:nvSpPr>
          <cdr:cNvPr id="22" name="CuadroTexto 1">
            <a:extLst xmlns:a="http://schemas.openxmlformats.org/drawingml/2006/main">
              <a:ext uri="{FF2B5EF4-FFF2-40B4-BE49-F238E27FC236}">
                <a16:creationId xmlns:a16="http://schemas.microsoft.com/office/drawing/2014/main" id="{7A1FB039-8E15-44CE-9502-D48144CFC5DB}"/>
              </a:ext>
            </a:extLst>
          </cdr:cNvPr>
          <cdr:cNvSpPr txBox="1"/>
        </cdr:nvSpPr>
        <cdr:spPr>
          <a:xfrm xmlns:a="http://schemas.openxmlformats.org/drawingml/2006/main">
            <a:off x="4562251" y="2317629"/>
            <a:ext cx="731698" cy="33317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indent="0" algn="r"/>
            <a:fld id="{6252F33D-EF1C-47C4-96A5-DEAC3CCFC160}" type="TxLink">
              <a:rPr lang="en-US" sz="1400" b="1" i="0" u="none" strike="noStrike">
                <a:solidFill>
                  <a:schemeClr val="accent6"/>
                </a:solidFill>
                <a:latin typeface="Calibri"/>
                <a:ea typeface="Calibri"/>
                <a:cs typeface="Calibri"/>
              </a:rPr>
              <a:pPr marL="0" indent="0" algn="r"/>
              <a:t>43,5%</a:t>
            </a:fld>
            <a:endParaRPr lang="es-ES" sz="1800" b="1" i="0" u="none" strike="noStrike">
              <a:solidFill>
                <a:schemeClr val="accent6"/>
              </a:solidFill>
              <a:latin typeface="Calibri"/>
              <a:ea typeface="+mn-ea"/>
              <a:cs typeface="+mn-cs"/>
            </a:endParaRPr>
          </a:p>
        </cdr:txBody>
      </cdr:sp>
    </cdr:grpSp>
  </cdr:relSizeAnchor>
  <cdr:relSizeAnchor xmlns:cdr="http://schemas.openxmlformats.org/drawingml/2006/chartDrawing">
    <cdr:from>
      <cdr:x>0.76539</cdr:x>
      <cdr:y>0.77333</cdr:y>
    </cdr:from>
    <cdr:to>
      <cdr:x>0.97535</cdr:x>
      <cdr:y>0.84538</cdr:y>
    </cdr:to>
    <cdr:sp macro="" textlink="">
      <cdr:nvSpPr>
        <cdr:cNvPr id="26" name="CuadroTexto 1">
          <a:extLst xmlns:a="http://schemas.openxmlformats.org/drawingml/2006/main">
            <a:ext uri="{FF2B5EF4-FFF2-40B4-BE49-F238E27FC236}">
              <a16:creationId xmlns:a16="http://schemas.microsoft.com/office/drawing/2014/main" id="{0D6E40F3-67BA-46DA-9F8A-37F48AFBB0E0}"/>
            </a:ext>
          </a:extLst>
        </cdr:cNvPr>
        <cdr:cNvSpPr txBox="1"/>
      </cdr:nvSpPr>
      <cdr:spPr>
        <a:xfrm xmlns:a="http://schemas.openxmlformats.org/drawingml/2006/main">
          <a:off x="5027931" y="2553033"/>
          <a:ext cx="1379220" cy="237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 i="0" u="none" strike="noStrike">
              <a:solidFill>
                <a:schemeClr val="accent2"/>
              </a:solidFill>
              <a:latin typeface="Calibri"/>
            </a:rPr>
            <a:t>del total España</a:t>
          </a:r>
          <a:endParaRPr lang="es-ES" sz="1600" b="1">
            <a:solidFill>
              <a:schemeClr val="accent2"/>
            </a:solidFill>
          </a:endParaRP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DFAA369D-BE74-4379-AF15-3F0BE94F5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E84C5963-891E-419E-8911-2792FA393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41DC93CA-D56B-4B16-BCBE-9C18F1C1E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BE45E0E-CE62-4FDA-8F9F-87F1F92B5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F71BC7C3-6684-4714-A6D1-8223AD0694D0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españoles entrados en los hoteles y apartamentos de Arona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españole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79.976 viajeros 
cuota: 67,6%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españole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38.281 viajeros
cuota: 32,4%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canarios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20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8D3DAB6-B30E-4673-8E92-4EB2CD2937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142C84E7-82BC-4C33-A923-178DBE477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9390C25F-286D-47CE-A1AB-E8B19EFB9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C650934-99FA-408C-B20C-C4051AABC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re x cate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lugar categoría del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peninsulare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50.137 viajeros 
cuota: 75,0%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peninsulare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16.712 viajeros
cuota: 25,0%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3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608964</xdr:colOff>
      <xdr:row>23</xdr:row>
      <xdr:rowOff>95885</xdr:rowOff>
    </xdr:from>
    <xdr:to>
      <xdr:col>25</xdr:col>
      <xdr:colOff>3809</xdr:colOff>
      <xdr:row>130</xdr:row>
      <xdr:rowOff>272415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13D4FA26-8F7E-48C3-B0F3-A864E9C21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80A26841-0CCA-44EB-807E-8820FC317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155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4" name="Imagen 3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D18D42C5-9039-4F86-8097-8B738BAB4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16</xdr:row>
      <xdr:rowOff>142873</xdr:rowOff>
    </xdr:from>
    <xdr:to>
      <xdr:col>12</xdr:col>
      <xdr:colOff>238125</xdr:colOff>
      <xdr:row>123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C3DD67E-B05E-4F84-8DFF-EE57D5B00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os x cate'!$B$3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6DD7FDF9-C129-4B73-A2D8-1D48F8148B42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Viajeros canarios entrados en los hoteles y apartamentos de Arona por tipología y categoría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  <cdr:relSizeAnchor xmlns:cdr="http://schemas.openxmlformats.org/drawingml/2006/chartDrawing">
    <cdr:from>
      <cdr:x>0.041</cdr:x>
      <cdr:y>0.26031</cdr:y>
    </cdr:from>
    <cdr:to>
      <cdr:x>0.24854</cdr:x>
      <cdr:y>0.41201</cdr:y>
    </cdr:to>
    <cdr:sp macro="" textlink="'distribución canarios x cate'!$AA$19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85A1103-5FB5-B2C6-21B1-F6862E0BCB8F}"/>
            </a:ext>
          </a:extLst>
        </cdr:cNvPr>
        <cdr:cNvSpPr txBox="1"/>
      </cdr:nvSpPr>
      <cdr:spPr>
        <a:xfrm xmlns:a="http://schemas.openxmlformats.org/drawingml/2006/main">
          <a:off x="347469" y="1319893"/>
          <a:ext cx="1758710" cy="769191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1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D24D9A57-6BDE-4FF9-BFFC-01600462B1D2}" type="TxLink">
            <a:rPr lang="en-US" sz="1400" b="0" i="0" u="none" strike="noStrike">
              <a:solidFill>
                <a:schemeClr val="accent6">
                  <a:lumMod val="75000"/>
                </a:schemeClr>
              </a:solidFill>
              <a:latin typeface="Calibri"/>
              <a:ea typeface="Calibri"/>
              <a:cs typeface="Calibri"/>
            </a:rPr>
            <a:pPr algn="ctr"/>
            <a:t>Hoteles: 
29.839 viajeros 
cuota: 58,0%</a:t>
          </a:fld>
          <a:endParaRPr lang="es-ES" sz="140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0.77039</cdr:x>
      <cdr:y>0.19841</cdr:y>
    </cdr:from>
    <cdr:to>
      <cdr:x>0.98376</cdr:x>
      <cdr:y>0.34296</cdr:y>
    </cdr:to>
    <cdr:sp macro="" textlink="'distribución canarios x cate'!$AA$20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21E849B-B2E6-1154-D44C-15561EF878B3}"/>
            </a:ext>
          </a:extLst>
        </cdr:cNvPr>
        <cdr:cNvSpPr txBox="1"/>
      </cdr:nvSpPr>
      <cdr:spPr>
        <a:xfrm xmlns:a="http://schemas.openxmlformats.org/drawingml/2006/main">
          <a:off x="6528359" y="1005667"/>
          <a:ext cx="1808114" cy="732662"/>
        </a:xfrm>
        <a:prstGeom xmlns:a="http://schemas.openxmlformats.org/drawingml/2006/main" prst="rect">
          <a:avLst/>
        </a:prstGeom>
        <a:ln xmlns:a="http://schemas.openxmlformats.org/drawingml/2006/main" w="3175">
          <a:solidFill>
            <a:schemeClr val="accent4"/>
          </a:solidFill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fld id="{1B227F2D-33F7-4897-8363-626781F97EAE}" type="TxLink">
            <a:rPr lang="en-US" sz="1400" b="0" i="0" u="none" strike="noStrike">
              <a:solidFill>
                <a:schemeClr val="accent4"/>
              </a:solidFill>
              <a:latin typeface="Calibri"/>
              <a:ea typeface="+mn-ea"/>
              <a:cs typeface="Calibri"/>
            </a:rPr>
            <a:pPr marL="0" indent="0" algn="ctr"/>
            <a:t>Apartamentos: 
21.569 viajeros
cuota: 42,0%</a:t>
          </a:fld>
          <a:endParaRPr lang="es-ES" sz="1400" b="0" i="0" u="none" strike="noStrike">
            <a:solidFill>
              <a:schemeClr val="accent4"/>
            </a:solidFill>
            <a:latin typeface="Calibri"/>
            <a:ea typeface="+mn-ea"/>
            <a:cs typeface="Calibri"/>
          </a:endParaRP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2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83EC9DF8-86C9-4473-A2FD-73E3A383B5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D2751188-C9F6-4BDD-BDBC-80C94953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60056590-A40F-46E5-A2C4-6686AE317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D824C1F9-E3AB-42AB-9C05-704D4AFC8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94AA574-9AE5-483C-9CBF-5277B7BAA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españoles x mun al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españoles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extranjeros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30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6F2F776B-0703-4625-AD20-3EA6D639BA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AEB7A0BE-5CA7-49A9-8796-DA432103A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BE176105-E3C7-4598-AD77-272F342823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DC4C7650-841B-47CF-A605-B8532E481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87B7E2B-88D6-45E6-93AA-157DA4E0CE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peninsula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peninsulares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818515</xdr:colOff>
      <xdr:row>21</xdr:row>
      <xdr:rowOff>73025</xdr:rowOff>
    </xdr:from>
    <xdr:to>
      <xdr:col>21</xdr:col>
      <xdr:colOff>59056</xdr:colOff>
      <xdr:row>125</xdr:row>
      <xdr:rowOff>15240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9E7886EA-577D-4AC1-B68C-7251C29689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161925</xdr:colOff>
      <xdr:row>0</xdr:row>
      <xdr:rowOff>38100</xdr:rowOff>
    </xdr:from>
    <xdr:to>
      <xdr:col>22</xdr:col>
      <xdr:colOff>666750</xdr:colOff>
      <xdr:row>1</xdr:row>
      <xdr:rowOff>152400</xdr:rowOff>
    </xdr:to>
    <xdr:pic>
      <xdr:nvPicPr>
        <xdr:cNvPr id="3" name="4 Imagen" descr="https://encrypted-tbn3.gstatic.com/images?q=tbn:ANd9GcS9dv_h_mgRl4NU7cIhTzv3MoOn0ZiT6qdeiJWxJuzUuUnUnoR-">
          <a:hlinkClick xmlns:r="http://schemas.openxmlformats.org/officeDocument/2006/relationships" r:id="rId2" tooltip="Ir al índice"/>
          <a:extLst>
            <a:ext uri="{FF2B5EF4-FFF2-40B4-BE49-F238E27FC236}">
              <a16:creationId xmlns:a16="http://schemas.microsoft.com/office/drawing/2014/main" id="{FC5BE950-75D6-41BD-8F3E-5D26793FE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0" y="38100"/>
          <a:ext cx="50482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552449</xdr:colOff>
      <xdr:row>19</xdr:row>
      <xdr:rowOff>95250</xdr:rowOff>
    </xdr:from>
    <xdr:ext cx="9191626" cy="4545000"/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971D8AE3-35EA-4E45-9E2F-E9792EA5A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589575</xdr:colOff>
      <xdr:row>1</xdr:row>
      <xdr:rowOff>97155</xdr:rowOff>
    </xdr:to>
    <xdr:pic>
      <xdr:nvPicPr>
        <xdr:cNvPr id="5" name="Imagen 4">
          <a:hlinkClick xmlns:r="http://schemas.openxmlformats.org/officeDocument/2006/relationships" r:id="rId2" tooltip="Volver al menú principal"/>
          <a:extLst>
            <a:ext uri="{FF2B5EF4-FFF2-40B4-BE49-F238E27FC236}">
              <a16:creationId xmlns:a16="http://schemas.microsoft.com/office/drawing/2014/main" id="{F6891C35-6B3B-48EB-AA24-E845845B7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675" cy="478155"/>
        </a:xfrm>
        <a:prstGeom prst="rect">
          <a:avLst/>
        </a:prstGeom>
      </xdr:spPr>
    </xdr:pic>
    <xdr:clientData/>
  </xdr:twoCellAnchor>
  <xdr:twoCellAnchor>
    <xdr:from>
      <xdr:col>0</xdr:col>
      <xdr:colOff>909636</xdr:colOff>
      <xdr:row>20</xdr:row>
      <xdr:rowOff>142873</xdr:rowOff>
    </xdr:from>
    <xdr:to>
      <xdr:col>12</xdr:col>
      <xdr:colOff>76200</xdr:colOff>
      <xdr:row>127</xdr:row>
      <xdr:rowOff>180974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0B27E80-6A00-454E-A71B-E3221D7F9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</cdr:x>
      <cdr:y>0.95573</cdr:y>
    </cdr:from>
    <cdr:to>
      <cdr:x>1</cdr:x>
      <cdr:y>1</cdr:y>
    </cdr:to>
    <cdr:sp macro="" textlink="">
      <cdr:nvSpPr>
        <cdr:cNvPr id="5" name="4 CuadroTexto">
          <a:extLst xmlns:a="http://schemas.openxmlformats.org/drawingml/2006/main">
            <a:ext uri="{FF2B5EF4-FFF2-40B4-BE49-F238E27FC236}">
              <a16:creationId xmlns:a16="http://schemas.microsoft.com/office/drawing/2014/main" id="{10A6DA9C-579B-4317-8004-9093C32CC0FD}"/>
            </a:ext>
          </a:extLst>
        </cdr:cNvPr>
        <cdr:cNvSpPr txBox="1"/>
      </cdr:nvSpPr>
      <cdr:spPr>
        <a:xfrm xmlns:a="http://schemas.openxmlformats.org/drawingml/2006/main">
          <a:off x="0" y="4318000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0.98346</cdr:x>
      <cdr:y>0.2219</cdr:y>
    </cdr:to>
    <cdr:sp macro="" textlink="'distribución canarias x munici'!$B$1">
      <cdr:nvSpPr>
        <cdr:cNvPr id="8" name="3 CuadroTexto">
          <a:extLst xmlns:a="http://schemas.openxmlformats.org/drawingml/2006/main">
            <a:ext uri="{FF2B5EF4-FFF2-40B4-BE49-F238E27FC236}">
              <a16:creationId xmlns:a16="http://schemas.microsoft.com/office/drawing/2014/main" id="{D057B0D6-92AC-44E6-A3F0-60D32F0574F6}"/>
            </a:ext>
          </a:extLst>
        </cdr:cNvPr>
        <cdr:cNvSpPr txBox="1"/>
      </cdr:nvSpPr>
      <cdr:spPr>
        <a:xfrm xmlns:a="http://schemas.openxmlformats.org/drawingml/2006/main">
          <a:off x="0" y="0"/>
          <a:ext cx="5735539" cy="733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E31E5DE-9ED6-468A-966E-E24316C30A9D}" type="TxLink">
            <a:rPr lang="en-US" sz="1600" b="1" i="0" u="none" strike="noStrike" baseline="0">
              <a:solidFill>
                <a:srgbClr val="7B8279"/>
              </a:solidFill>
              <a:effectLst/>
              <a:latin typeface="Calibri"/>
              <a:ea typeface="+mn-ea"/>
              <a:cs typeface="Calibri"/>
            </a:rPr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Distribución de viajeros canarios entrados en hoteles y apartamentos de Tenerife por municipio de alojamiento</a:t>
          </a:fld>
          <a:endParaRPr lang="en-US" sz="1600" b="1" i="0" u="none" strike="noStrike" baseline="0">
            <a:solidFill>
              <a:srgbClr val="7B8279"/>
            </a:solidFill>
            <a:effectLst/>
            <a:latin typeface="Calibri"/>
            <a:ea typeface="+mn-ea"/>
            <a:cs typeface="Calibri"/>
          </a:endParaRP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</cdr:x>
      <cdr:y>0.96396</cdr:y>
    </cdr:from>
    <cdr:to>
      <cdr:x>0.46659</cdr:x>
      <cdr:y>0.99246</cdr:y>
    </cdr:to>
    <cdr:sp macro="" textlink="">
      <cdr:nvSpPr>
        <cdr:cNvPr id="5" name="Text Box 1">
          <a:extLst xmlns:a="http://schemas.openxmlformats.org/drawingml/2006/main">
            <a:ext uri="{FF2B5EF4-FFF2-40B4-BE49-F238E27FC236}">
              <a16:creationId xmlns:a16="http://schemas.microsoft.com/office/drawing/2014/main" id="{835B97E9-A6BA-4699-B50D-73341AE2757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482978"/>
          <a:ext cx="4044312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FUENTE: Desarrollo</a:t>
          </a:r>
          <a:r>
            <a:rPr lang="es-ES" sz="800" b="0" i="0" strike="noStrike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 Económico, Cabildo Insular de Tenerife</a:t>
          </a:r>
          <a:r>
            <a:rPr lang="es-ES" sz="800" b="0" i="0" strike="noStrike">
              <a:solidFill>
                <a:schemeClr val="tx1">
                  <a:lumMod val="75000"/>
                  <a:lumOff val="25000"/>
                </a:scheme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  <cdr:relSizeAnchor xmlns:cdr="http://schemas.openxmlformats.org/drawingml/2006/chartDrawing">
    <cdr:from>
      <cdr:x>0.00049</cdr:x>
      <cdr:y>0.12489</cdr:y>
    </cdr:from>
    <cdr:to>
      <cdr:x>1</cdr:x>
      <cdr:y>0.12489</cdr:y>
    </cdr:to>
    <cdr:cxnSp macro="">
      <cdr:nvCxnSpPr>
        <cdr:cNvPr id="6" name="2 Conector recto">
          <a:extLst xmlns:a="http://schemas.openxmlformats.org/drawingml/2006/main">
            <a:ext uri="{FF2B5EF4-FFF2-40B4-BE49-F238E27FC236}">
              <a16:creationId xmlns:a16="http://schemas.microsoft.com/office/drawing/2014/main" id="{07FE23C6-CFC7-4969-9CB5-AD9AB9F14D6D}"/>
            </a:ext>
          </a:extLst>
        </cdr:cNvPr>
        <cdr:cNvCxnSpPr/>
      </cdr:nvCxnSpPr>
      <cdr:spPr>
        <a:xfrm xmlns:a="http://schemas.openxmlformats.org/drawingml/2006/main">
          <a:off x="3678" y="609064"/>
          <a:ext cx="7502022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0.94454</cdr:y>
    </cdr:from>
    <cdr:to>
      <cdr:x>0.99951</cdr:x>
      <cdr:y>0.94454</cdr:y>
    </cdr:to>
    <cdr:cxnSp macro="">
      <cdr:nvCxnSpPr>
        <cdr:cNvPr id="7" name="1 Conector recto">
          <a:extLst xmlns:a="http://schemas.openxmlformats.org/drawingml/2006/main">
            <a:ext uri="{FF2B5EF4-FFF2-40B4-BE49-F238E27FC236}">
              <a16:creationId xmlns:a16="http://schemas.microsoft.com/office/drawing/2014/main" id="{3BA969A3-DA45-4D06-BE89-EA2703541B15}"/>
            </a:ext>
          </a:extLst>
        </cdr:cNvPr>
        <cdr:cNvCxnSpPr/>
      </cdr:nvCxnSpPr>
      <cdr:spPr>
        <a:xfrm xmlns:a="http://schemas.openxmlformats.org/drawingml/2006/main" flipV="1">
          <a:off x="0" y="3514725"/>
          <a:ext cx="6534150" cy="0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</cdr:x>
      <cdr:y>0.9614</cdr:y>
    </cdr:from>
    <cdr:to>
      <cdr:x>0.71535</cdr:x>
      <cdr:y>1</cdr:y>
    </cdr:to>
    <cdr:sp macro="" textlink="">
      <cdr:nvSpPr>
        <cdr:cNvPr id="2" name="4 CuadroTexto">
          <a:extLst xmlns:a="http://schemas.openxmlformats.org/drawingml/2006/main">
            <a:ext uri="{FF2B5EF4-FFF2-40B4-BE49-F238E27FC236}">
              <a16:creationId xmlns:a16="http://schemas.microsoft.com/office/drawing/2014/main" id="{0D988794-9A26-B8B3-12AC-A4523A2C68C0}"/>
            </a:ext>
          </a:extLst>
        </cdr:cNvPr>
        <cdr:cNvSpPr txBox="1"/>
      </cdr:nvSpPr>
      <cdr:spPr>
        <a:xfrm xmlns:a="http://schemas.openxmlformats.org/drawingml/2006/main">
          <a:off x="0" y="4981576"/>
          <a:ext cx="6530976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Desarrollo Económico, Cabildo Insular de Tenerife. ELABORACIÓN: Turismo de Tenerife </a:t>
          </a:r>
        </a:p>
      </cdr:txBody>
    </cdr:sp>
  </cdr:relSizeAnchor>
</c:userShapes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A9A3BE-15A2-4B11-AD2B-9ECE693C1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648E54-BBEF-4477-A9FC-47F83B647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8C7D46-A0AD-496C-BACE-BD57CDF98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españo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españoles entrados en los establecimientos alojativos de Arona
(hotel + apartamento)</a:t>
          </a:fld>
          <a:endParaRPr lang="es-E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británicos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1EF0CA-D1EE-4B8F-89DB-97A8BEDC1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463530-1B48-4B75-8E56-4B4019ACA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571EE60-34AE-4074-8752-83EC27611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penins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peninsulares entrados en los establecimientos alojativos de Arona
(hotel + apartamento)</a:t>
          </a:fld>
          <a:endParaRPr lang="es-ES" sz="1100"/>
        </a:p>
      </cdr:txBody>
    </cdr:sp>
  </cdr:relSizeAnchor>
</c:userShapes>
</file>

<file path=xl/drawings/drawing1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457199</xdr:colOff>
      <xdr:row>2</xdr:row>
      <xdr:rowOff>114299</xdr:rowOff>
    </xdr:from>
    <xdr:to>
      <xdr:col>15</xdr:col>
      <xdr:colOff>355199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D92DD1-DF30-4E0F-94AE-581238792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02ECFE-261D-4F25-9B05-AAF877E7A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1CC632-2462-4DAC-8DFD-58DC2356C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volución anual viaj ent canari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canarios entrados en los establecimientos alojativos de Arona
(hotel + apartamento)</a:t>
          </a:fld>
          <a:endParaRPr lang="es-E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0.12237</cdr:y>
    </cdr:to>
    <cdr:sp macro="" textlink="'Viajeros entr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9479"/>
          <a:ext cx="8829676" cy="59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alemanes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franceses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holandeses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belgas entrados en los establecimientos alojativos de Arona 
(hotel + apartamento)</a:t>
          </a:fld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2</xdr:row>
      <xdr:rowOff>133631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E9B769-4AB9-40C7-A189-DFA393F52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5</xdr:row>
      <xdr:rowOff>284480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BEB45D-7DE6-4488-939D-4A290A098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762000" cy="655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daneses entrados en los establecimientos alojativos de Arona 
(hotel + apartamento)</a:t>
          </a:fld>
          <a:endParaRPr lang="es-E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suecos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1E4AE0-3783-4FEC-89EB-3F94113CA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EDF8B3-D04B-4063-A1A5-454350CC2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F21BED-C4FA-4E72-9CA3-F97C961247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EE6333-6F23-4698-B972-6E5C1922D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AC487-200C-4EED-85FF-A33E804DA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38EC837-17C6-4904-AE71-7C7824928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1AC9CF5-507C-462E-B2DC-B0E4E4FF0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B64BD16-04D4-428A-9E0D-DAA75A480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2D8D8E9-6124-4068-8140-948421708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Arona</a:t>
          </a:fld>
          <a:endParaRPr lang="es-E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4, 5 estrellas Arona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hoteles de 1, 2, 3 estrellas Arona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0.91106</cdr:y>
    </cdr:from>
    <cdr:to>
      <cdr:x>0.51546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000488"/>
          <a:ext cx="4268009" cy="390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2020 no se publicó la desagregación por categorías en las Islas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entrados en los apartamentos de Arona</a:t>
          </a:fld>
          <a:endParaRPr lang="es-ES" sz="1100"/>
        </a:p>
      </cdr:txBody>
    </cdr:sp>
  </cdr:relSizeAnchor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1E746101-EB15-832B-6A67-4574788CA446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A298B7-F72B-4C3F-98B5-6A8C51C6FB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46C025-6FA0-4071-8F0C-BC8AC7DA9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C678D0C-AFB0-4F44-8E2E-AF9D09832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1E68DB0-24E3-4155-89E8-2D153AF00A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DAA3830-3486-4674-884F-238343719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358140</xdr:colOff>
      <xdr:row>2</xdr:row>
      <xdr:rowOff>129821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2B8F9E-B075-4539-BAC8-2B7E6DF9B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2140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57150</xdr:rowOff>
    </xdr:from>
    <xdr:to>
      <xdr:col>1</xdr:col>
      <xdr:colOff>0</xdr:colOff>
      <xdr:row>5</xdr:row>
      <xdr:rowOff>364172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5FF64B-7694-464B-8300-4FAE19C5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762000" cy="678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establecimientos alojativos de Arona 
(hotel + apartamento)</a:t>
          </a:fld>
          <a:endParaRPr lang="es-ES" sz="1100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Arona</a:t>
          </a:fld>
          <a:endParaRPr lang="es-E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entr evol anual TF cat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entrados en los hoteles de 4, 5 estrellas de Arona</a:t>
          </a:fld>
          <a:endParaRPr lang="es-ES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2</xdr:row>
      <xdr:rowOff>371475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00CE55-DED3-474B-9C04-8D4D392F8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847725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22679B-A35F-4D46-841F-FA77159E2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A4CD69-EABA-4FC4-A689-C21EE7FA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E6CD78-968F-4787-A1D3-3CAF5805A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C2D3AE9-77EC-4460-9A35-A2B1793A0B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entrados lugar resid años 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7B82CD-50C8-42F1-86E4-CF122F143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</xdr:row>
      <xdr:rowOff>38100</xdr:rowOff>
    </xdr:from>
    <xdr:to>
      <xdr:col>31</xdr:col>
      <xdr:colOff>186690</xdr:colOff>
      <xdr:row>26</xdr:row>
      <xdr:rowOff>15240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821323D7-5E5A-499D-97D0-8A9C2BD088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71DD58-3FD6-4A54-A9CB-90A19C7C6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cia'!$M$6:$T$6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6B25C01-D8B5-45F5-AEF0-E4EBE0EDCB7F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3E518-B748-4A0F-9650-FA7C58573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43519F-D6E7-420B-99EE-F2CE1845B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25</xdr:col>
      <xdr:colOff>133350</xdr:colOff>
      <xdr:row>3</xdr:row>
      <xdr:rowOff>285750</xdr:rowOff>
    </xdr:from>
    <xdr:to>
      <xdr:col>37</xdr:col>
      <xdr:colOff>567690</xdr:colOff>
      <xdr:row>27</xdr:row>
      <xdr:rowOff>72390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442653D1-C6AB-426F-A6CF-7CEB95DC5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cu'!$P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180975</xdr:rowOff>
    </xdr:from>
    <xdr:to>
      <xdr:col>11</xdr:col>
      <xdr:colOff>28575</xdr:colOff>
      <xdr:row>24</xdr:row>
      <xdr:rowOff>171450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CAA7E35-8D0E-44BA-8786-9462FCE36150}"/>
            </a:ext>
          </a:extLst>
        </xdr:cNvPr>
        <xdr:cNvGrpSpPr/>
      </xdr:nvGrpSpPr>
      <xdr:grpSpPr>
        <a:xfrm>
          <a:off x="638175" y="3714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22A9A5AC-C927-44CA-0B3E-1825D37D4F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536A02A9-7C63-00C4-391C-B803717C43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5622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marL="0" indent="0" algn="ctr" rtl="0">
              <a:defRPr sz="1000"/>
            </a:pPr>
            <a:r>
              <a:rPr lang="es-ES" sz="48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Estimación oferta hoteles y apartamentos en funcionamiento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9BBE19-3EF3-4893-A9B1-334B222F5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79C56D-D472-4628-812B-3174F4C79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561975</xdr:colOff>
      <xdr:row>3</xdr:row>
      <xdr:rowOff>257175</xdr:rowOff>
    </xdr:from>
    <xdr:to>
      <xdr:col>36</xdr:col>
      <xdr:colOff>434340</xdr:colOff>
      <xdr:row>27</xdr:row>
      <xdr:rowOff>43815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EDC236A-A2E4-469B-8B7F-A212887B3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0768"/>
          <a:ext cx="8033258" cy="199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ho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hoteles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150404-AB10-4AC2-94E5-A86631ADB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F798E1-99D9-4E32-B302-615CB1DB6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2</xdr:row>
      <xdr:rowOff>161925</xdr:rowOff>
    </xdr:from>
    <xdr:to>
      <xdr:col>35</xdr:col>
      <xdr:colOff>148590</xdr:colOff>
      <xdr:row>25</xdr:row>
      <xdr:rowOff>139065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13D7C72C-0B30-42C7-AC93-D58644F165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entrados lugar residen apt'!$N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80BF2DB-21EF-4E40-A211-5A420E4ABD3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apartamentos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2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9525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DFD86C-4342-42EA-B62B-23647BFA7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858520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9D252D-4244-47E0-B477-25E6911A9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6745" cy="5146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151EF9-6CD6-4CEF-850B-6EF172674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3E946C-2B70-42EC-96CD-4FDB11F4C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2</xdr:row>
      <xdr:rowOff>28575</xdr:rowOff>
    </xdr:from>
    <xdr:to>
      <xdr:col>11</xdr:col>
      <xdr:colOff>85725</xdr:colOff>
      <xdr:row>25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C4247F1-038B-430D-9A67-4AA06D9700EF}"/>
            </a:ext>
          </a:extLst>
        </xdr:cNvPr>
        <xdr:cNvGrpSpPr/>
      </xdr:nvGrpSpPr>
      <xdr:grpSpPr>
        <a:xfrm>
          <a:off x="695325" y="40957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8CDABF90-E9C3-ED00-D832-EA2D8206CF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E902EC75-9211-2BB7-E0B3-8F87816193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alojados en hoteles y apartamentos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438150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850F46-D65E-4DDF-A63A-3B1298C01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0</xdr:row>
      <xdr:rowOff>514631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BADB02-F3C6-489D-9071-FC6B83616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1665" cy="514631"/>
        </a:xfrm>
        <a:prstGeom prst="rect">
          <a:avLst/>
        </a:prstGeom>
      </xdr:spPr>
    </xdr:pic>
    <xdr:clientData/>
  </xdr:twoCellAnchor>
  <xdr:twoCellAnchor editAs="oneCell">
    <xdr:from>
      <xdr:col>18</xdr:col>
      <xdr:colOff>695325</xdr:colOff>
      <xdr:row>2</xdr:row>
      <xdr:rowOff>38100</xdr:rowOff>
    </xdr:from>
    <xdr:to>
      <xdr:col>31</xdr:col>
      <xdr:colOff>367665</xdr:colOff>
      <xdr:row>25</xdr:row>
      <xdr:rowOff>15240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57BE806-4FC2-4365-802C-B5FCDCA65E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 lugar residen mes'!$K$5:$R$5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0CE42E48-A969-4C58-9403-3DC7E77104E1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0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11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53183F-907E-4909-B06A-2564CDE6C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90C954-ED96-4787-981C-3A0EFCBEE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190499</xdr:colOff>
      <xdr:row>1</xdr:row>
      <xdr:rowOff>28575</xdr:rowOff>
    </xdr:from>
    <xdr:to>
      <xdr:col>37</xdr:col>
      <xdr:colOff>28575</xdr:colOff>
      <xdr:row>24</xdr:row>
      <xdr:rowOff>5715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F5A7BDC-B0DE-4811-9565-3282AE35E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19720B-6AD1-4D3E-BBA3-4AABC6B19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D8B3F5-2556-4849-9189-BCDEFC30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469FEF0-7D14-4B66-8BA0-52A36FBF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1</cdr:x>
      <cdr:y>0.0919</cdr:y>
    </cdr:to>
    <cdr:sp macro="" textlink="'viaj alojados lugar residen acu'!$O$4:$X$4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48275" y="50759"/>
          <a:ext cx="9530065" cy="43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2187FA05-E7EC-492D-8F75-A46E8AF659B7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alojados en los establecimientos alojativos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A0CA13-F4A8-4651-B09A-997BDCDF2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848413-14E5-4E79-B890-E79DA5F4B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  <xdr:twoCellAnchor editAs="oneCell">
    <xdr:from>
      <xdr:col>23</xdr:col>
      <xdr:colOff>396875</xdr:colOff>
      <xdr:row>2</xdr:row>
      <xdr:rowOff>95250</xdr:rowOff>
    </xdr:from>
    <xdr:to>
      <xdr:col>36</xdr:col>
      <xdr:colOff>590550</xdr:colOff>
      <xdr:row>26</xdr:row>
      <xdr:rowOff>133350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AE35B06B-10D8-4865-8041-D872D5717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0.96243</cdr:y>
    </cdr:from>
    <cdr:to>
      <cdr:x>0.83869</cdr:x>
      <cdr:y>1</cdr:y>
    </cdr:to>
    <cdr:sp macro="" textlink="">
      <cdr:nvSpPr>
        <cdr:cNvPr id="4" name="1 CuadroTexto">
          <a:extLst xmlns:a="http://schemas.openxmlformats.org/drawingml/2006/main">
            <a:ext uri="{FF2B5EF4-FFF2-40B4-BE49-F238E27FC236}">
              <a16:creationId xmlns:a16="http://schemas.microsoft.com/office/drawing/2014/main" id="{8F47768F-2D97-4B38-8D0E-DE4F36FD9686}"/>
            </a:ext>
          </a:extLst>
        </cdr:cNvPr>
        <cdr:cNvSpPr txBox="1"/>
      </cdr:nvSpPr>
      <cdr:spPr>
        <a:xfrm xmlns:a="http://schemas.openxmlformats.org/drawingml/2006/main">
          <a:off x="0" y="5124449"/>
          <a:ext cx="480909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75000"/>
                  <a:lumOff val="2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0.00504</cdr:x>
      <cdr:y>0.00954</cdr:y>
    </cdr:from>
    <cdr:to>
      <cdr:x>0.94907</cdr:x>
      <cdr:y>0.0919</cdr:y>
    </cdr:to>
    <cdr:sp macro="" textlink="'viaj aloj lugar resid año'!$N$3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761AC79D-492E-4E44-904A-C25A6874EB05}"/>
            </a:ext>
          </a:extLst>
        </cdr:cNvPr>
        <cdr:cNvSpPr txBox="1"/>
      </cdr:nvSpPr>
      <cdr:spPr>
        <a:xfrm xmlns:a="http://schemas.openxmlformats.org/drawingml/2006/main">
          <a:off x="50902" y="53158"/>
          <a:ext cx="9534423" cy="4589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8893662F-1A51-4D1E-BD6E-6B8923935962}" type="TxLink">
            <a:rPr lang="en-US" sz="1600" b="1" i="0" u="none" strike="noStrike">
              <a:solidFill>
                <a:srgbClr val="7B8279"/>
              </a:solidFill>
              <a:effectLst/>
              <a:latin typeface="Calibri"/>
              <a:ea typeface="Calibri"/>
              <a:cs typeface="Calibri"/>
            </a:rPr>
            <a:pPr/>
            <a:t>Viajeros entrados en los establecimientos alojativos de Arona según lugar de residencia (hotel + apartamento)</a:t>
          </a:fld>
          <a:endParaRPr lang="es-ES" sz="36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0.00351</cdr:y>
    </cdr:from>
    <cdr:to>
      <cdr:x>0.89879</cdr:x>
      <cdr:y>0.05542</cdr:y>
    </cdr:to>
    <cdr:sp macro="" textlink="">
      <cdr:nvSpPr>
        <cdr:cNvPr id="9" name="CuadroTexto 1">
          <a:extLst xmlns:a="http://schemas.openxmlformats.org/drawingml/2006/main">
            <a:ext uri="{FF2B5EF4-FFF2-40B4-BE49-F238E27FC236}">
              <a16:creationId xmlns:a16="http://schemas.microsoft.com/office/drawing/2014/main" id="{2C4D52B6-B7D7-46DB-B106-71FBA4585409}"/>
            </a:ext>
          </a:extLst>
        </cdr:cNvPr>
        <cdr:cNvSpPr txBox="1"/>
      </cdr:nvSpPr>
      <cdr:spPr>
        <a:xfrm xmlns:a="http://schemas.openxmlformats.org/drawingml/2006/main">
          <a:off x="0" y="23813"/>
          <a:ext cx="563880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114299</xdr:rowOff>
    </xdr:from>
    <xdr:to>
      <xdr:col>15</xdr:col>
      <xdr:colOff>326624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5BC89D-708B-4666-B142-B8E75570F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847725</xdr:colOff>
      <xdr:row>3</xdr:row>
      <xdr:rowOff>714375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72654D-E3A4-4AE7-8C11-87FAA881F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866775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0A7207-7536-4BA0-93C6-8A60C0EAD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950" cy="514631"/>
        </a:xfrm>
        <a:prstGeom prst="rect">
          <a:avLst/>
        </a:prstGeom>
      </xdr:spPr>
    </xdr:pic>
    <xdr:clientData/>
  </xdr:twoCellAnchor>
  <xdr:twoCellAnchor>
    <xdr:from>
      <xdr:col>4</xdr:col>
      <xdr:colOff>323850</xdr:colOff>
      <xdr:row>26</xdr:row>
      <xdr:rowOff>76200</xdr:rowOff>
    </xdr:from>
    <xdr:to>
      <xdr:col>15</xdr:col>
      <xdr:colOff>221850</xdr:colOff>
      <xdr:row>47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A14DABA-900A-4C64-AAF4-754541956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48</xdr:row>
      <xdr:rowOff>142875</xdr:rowOff>
    </xdr:from>
    <xdr:to>
      <xdr:col>15</xdr:col>
      <xdr:colOff>574275</xdr:colOff>
      <xdr:row>70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7FE2FAE-F6D0-4AF7-BD7B-B0FF5B04C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4:$D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establecimientos alojativos de Arona 
(hotel + apartamento)</a:t>
          </a:fld>
          <a:endParaRPr lang="es-ES" sz="1100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27:$D$27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Arona</a:t>
          </a:fld>
          <a:endParaRPr lang="es-ES" sz="1100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Viajeros aloj evol anual TF'!$B$50:$D$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Evolución de viajeros alojados en los hoteles de 4, 5 estrellas de Arona</a:t>
          </a:fld>
          <a:endParaRPr lang="es-ES" sz="1100"/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57150</xdr:rowOff>
    </xdr:from>
    <xdr:to>
      <xdr:col>11</xdr:col>
      <xdr:colOff>190500</xdr:colOff>
      <xdr:row>25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2B7918A-7B3B-4055-BE60-8B6176997544}"/>
            </a:ext>
          </a:extLst>
        </xdr:cNvPr>
        <xdr:cNvGrpSpPr/>
      </xdr:nvGrpSpPr>
      <xdr:grpSpPr>
        <a:xfrm>
          <a:off x="800100" y="43815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10E9F2D-9570-383B-06AE-74E887CE54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D78CC198-6957-212D-4775-69CE64C781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76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Pernoctaciones en hoteles y apartamentos</a:t>
            </a:r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B1AF95-288C-440C-960C-EAC56768C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849630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50F71E-D5CE-4D39-A68D-BA89D880E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390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102870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AC04F9-4AF1-4C2F-9043-2EDE3AE49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045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3DA5E86-4BBB-4C35-9E32-7B6883C13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75A8B9B-B68A-43E1-89DD-D1C9EAF8A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1B8CE1B-E49B-4003-A412-5471BC4EA2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F1A9960-F03C-49AC-AF0C-C6D757ECE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04D8D0B-87AC-42CF-A8C0-CD15FD69A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38100</xdr:colOff>
      <xdr:row>135</xdr:row>
      <xdr:rowOff>0</xdr:rowOff>
    </xdr:from>
    <xdr:to>
      <xdr:col>25</xdr:col>
      <xdr:colOff>698100</xdr:colOff>
      <xdr:row>155</xdr:row>
      <xdr:rowOff>104776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23047B6-BDC6-4591-9B13-DD3929773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38100</xdr:colOff>
      <xdr:row>156</xdr:row>
      <xdr:rowOff>171450</xdr:rowOff>
    </xdr:from>
    <xdr:to>
      <xdr:col>25</xdr:col>
      <xdr:colOff>698100</xdr:colOff>
      <xdr:row>177</xdr:row>
      <xdr:rowOff>85726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A8A84FC-4AE6-4A6C-9632-39904BD5E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85AA9CC9-F657-4CBA-AEA2-42AA21AE9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A96C0A7-C5D8-426D-B69C-AA98004B7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19050</xdr:colOff>
      <xdr:row>223</xdr:row>
      <xdr:rowOff>0</xdr:rowOff>
    </xdr:from>
    <xdr:to>
      <xdr:col>25</xdr:col>
      <xdr:colOff>679050</xdr:colOff>
      <xdr:row>243</xdr:row>
      <xdr:rowOff>66676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5ABE4407-1B6D-4B4C-8237-1BDBDE3E1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249</xdr:row>
      <xdr:rowOff>0</xdr:rowOff>
    </xdr:from>
    <xdr:to>
      <xdr:col>25</xdr:col>
      <xdr:colOff>660000</xdr:colOff>
      <xdr:row>269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17AA943-E0A6-4FC1-BAA5-9C4030F1CC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Arona (hotel + apartamento)</a:t>
          </a:fld>
          <a:endParaRPr lang="es-E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4</xdr:row>
      <xdr:rowOff>190500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976C68-FFBB-4803-9E73-250C231E1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6FDFF5-42F4-4FF6-8901-E39F0E483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0</xdr:row>
      <xdr:rowOff>510821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674B32-9057-4A9F-B0DA-A9A624335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5475" cy="510821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españoles en los establecimientos alojativos de Arona (hotel + apartamento)</a:t>
          </a:fld>
          <a:endParaRPr lang="es-ES" sz="1100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Península en los establecimientos alojativos de Arona (hotel + apartamento)</a:t>
          </a:fld>
          <a:endParaRPr lang="es-ES" sz="1100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Canarias en los establecimientos alojativos de Arona (hotel + apartamento)</a:t>
          </a:fld>
          <a:endParaRPr lang="es-ES" sz="1100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Total residentes en el extranjero en los establecimientos alojativos de Arona (hotel + apartamento)</a:t>
          </a:fld>
          <a:endParaRPr lang="es-ES" sz="1100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Reino Unido en los establecimientos alojativos de Arona (hotel + apartamento)</a:t>
          </a:fld>
          <a:endParaRPr lang="es-ES" sz="1100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Alemania en los establecimientos alojativos de Arona (hotel + apartamento)</a:t>
          </a:fld>
          <a:endParaRPr lang="es-ES" sz="1100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Francia en los establecimientos alojativos de Arona (hotel + apartamento)</a:t>
          </a:fld>
          <a:endParaRPr lang="es-ES" sz="1100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Bélgica en los establecimientos alojativos de Arona (hotel + apartamento)</a:t>
          </a:fld>
          <a:endParaRPr lang="es-ES" sz="1100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Países Bajos en los establecimientos alojativos de Arona (hotel + apartamento)</a:t>
          </a:fld>
          <a:endParaRPr lang="es-ES" sz="1100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99087FA-C4E9-4D1C-A811-CCBF4BDBA11C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Dinamarca en los establecimientos alojativos de Arona (hotel + apartamento)</a:t>
          </a:fld>
          <a:endParaRPr lang="es-E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161925</xdr:rowOff>
    </xdr:from>
    <xdr:to>
      <xdr:col>11</xdr:col>
      <xdr:colOff>180975</xdr:colOff>
      <xdr:row>24</xdr:row>
      <xdr:rowOff>152400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B084EFC-BC3A-4684-88C6-B20565CBD4FE}"/>
            </a:ext>
          </a:extLst>
        </xdr:cNvPr>
        <xdr:cNvGrpSpPr/>
      </xdr:nvGrpSpPr>
      <xdr:grpSpPr>
        <a:xfrm>
          <a:off x="790575" y="352425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C1FC725C-286D-E3E0-1896-9019642787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142E050C-3265-D3F6-9439-2BFA5D87AD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57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Viajeros entrados en hoteles y apartamentos</a:t>
            </a:r>
          </a:p>
        </xdr:txBody>
      </xdr:sp>
    </xdr:grpSp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ciones evol mensu TF'!$B$250:$N$25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2BE389B-CCFC-40C6-BAAE-B88837C1348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procedentes de Suecia en los establecimientos alojativos de Arona (hotel + apartamento)</a:t>
          </a:fld>
          <a:endParaRPr lang="es-ES" sz="1100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E2CFEE-9DC3-488F-9C89-14BA7C5BA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A51EF6-7FF7-4414-A2D2-9168586B4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F70F8E-C88F-46F3-BB42-01796FC6F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683533-9FED-4180-B2FA-6E3F15616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B513B49-9BBB-41A7-B96E-1DE8A795B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DA9743A-1D6C-48CD-8C34-9386BA7EE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DFF3170-EE51-476A-A774-F2C5CCEC84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establecimientos alojativos de Arona (hotel + apartamento)</a:t>
          </a:fld>
          <a:endParaRPr lang="es-ES" sz="1100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Arona</a:t>
          </a:fld>
          <a:endParaRPr lang="es-ES" sz="1100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4 y 5 estrellas de Arona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hoteles de 1, 2, 3 estrellas de Arona</a:t>
          </a:fld>
          <a:endParaRPr lang="es-ES" sz="1100"/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Pernocta evol mensu TF cat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Pernoctaciones realizadas por los turistas en los apartamentos de Arona</a:t>
          </a:fld>
          <a:endParaRPr lang="es-ES" sz="1100"/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D5FF6D-8185-42B7-98BD-322E247A2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B5FB61-4F16-4181-A6DC-B1CC15155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5715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9047A1-B2A2-41FD-9941-5AABAA339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806F6B-B584-4FC5-93E2-76275B83D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762000</xdr:colOff>
      <xdr:row>5</xdr:row>
      <xdr:rowOff>15240</xdr:rowOff>
    </xdr:to>
    <xdr:pic>
      <xdr:nvPicPr>
        <xdr:cNvPr id="2" name="Imagen 1" descr="Iconos Png Gratis Resume Volver Icono Descarga Gratuita - Pump ..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B05843-BDC3-49AB-9C30-DCF05A29C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"/>
          <a:ext cx="76200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854710</xdr:colOff>
      <xdr:row>0</xdr:row>
      <xdr:rowOff>510821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048C1E-1DB9-456B-870B-490FE19A0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92935" cy="5108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5BE230-061B-44F1-BE15-15144AADF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C32AC4-F636-4DD0-8990-72516F36B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51CB8A-0FC4-4C73-8D00-AC1E9C6DF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A648F47-75AD-4365-A175-59F4C649C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4257147-C065-4FB2-A14C-D48766CFA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29F3A57-E793-42CB-80D4-CA6E469F1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C599C00-14CB-475D-B846-363C2BC1A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C82187F-E77C-45B0-811E-EB2818FF3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619124</xdr:colOff>
      <xdr:row>134</xdr:row>
      <xdr:rowOff>95251</xdr:rowOff>
    </xdr:from>
    <xdr:to>
      <xdr:col>26</xdr:col>
      <xdr:colOff>0</xdr:colOff>
      <xdr:row>154</xdr:row>
      <xdr:rowOff>38101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267466BC-FC6C-4314-86F7-A3874819F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42BDD53D-BE3A-4A8A-8322-C515DEF9DE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26CD443D-C78D-4966-94D9-A001B45D7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CF15BB84-C50F-4634-81BB-03E1CD1CE1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9F513202-49CA-4633-A19F-526256985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7316FA0-C25C-43AD-97D8-D8AF49E4C4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66E2645-9097-4C3E-A865-FC6B4F32FB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11</xdr:col>
      <xdr:colOff>161925</xdr:colOff>
      <xdr:row>25</xdr:row>
      <xdr:rowOff>180975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32EB821-93C1-4DDA-8F25-991E8A167373}"/>
            </a:ext>
          </a:extLst>
        </xdr:cNvPr>
        <xdr:cNvGrpSpPr/>
      </xdr:nvGrpSpPr>
      <xdr:grpSpPr>
        <a:xfrm>
          <a:off x="771525" y="571500"/>
          <a:ext cx="7772400" cy="4371975"/>
          <a:chOff x="9906000" y="190500"/>
          <a:chExt cx="7772400" cy="437197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E1EC7E-04AA-21FB-32DE-B66EE6E0FC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06000" y="190500"/>
            <a:ext cx="7772400" cy="4371975"/>
          </a:xfrm>
          <a:prstGeom prst="rect">
            <a:avLst/>
          </a:prstGeom>
        </xdr:spPr>
      </xdr:pic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F651BF27-FF1F-95E9-3FDA-BC8A99780F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9399" y="1476375"/>
            <a:ext cx="6715125" cy="2838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0" bIns="0" anchor="ctr" upright="1"/>
          <a:lstStyle/>
          <a:p>
            <a:pPr algn="ctr" rtl="0">
              <a:defRPr sz="1000"/>
            </a:pPr>
            <a:r>
              <a:rPr lang="es-ES" sz="6000" b="0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t>Estancia media en hoteles y apartamentos</a:t>
            </a:r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428624</xdr:colOff>
      <xdr:row>2</xdr:row>
      <xdr:rowOff>114299</xdr:rowOff>
    </xdr:from>
    <xdr:to>
      <xdr:col>25</xdr:col>
      <xdr:colOff>326624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78AAFA-D412-424F-B228-3C45CEFF6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857250</xdr:colOff>
      <xdr:row>4</xdr:row>
      <xdr:rowOff>91440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36E06B-6189-443E-A656-78DD4909A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71525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97155</xdr:colOff>
      <xdr:row>2</xdr:row>
      <xdr:rowOff>129821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3904F6-5E1F-429F-9BD6-34C174073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8330" cy="510821"/>
        </a:xfrm>
        <a:prstGeom prst="rect">
          <a:avLst/>
        </a:prstGeom>
      </xdr:spPr>
    </xdr:pic>
    <xdr:clientData/>
  </xdr:twoCellAnchor>
  <xdr:twoCellAnchor>
    <xdr:from>
      <xdr:col>14</xdr:col>
      <xdr:colOff>323850</xdr:colOff>
      <xdr:row>25</xdr:row>
      <xdr:rowOff>76200</xdr:rowOff>
    </xdr:from>
    <xdr:to>
      <xdr:col>25</xdr:col>
      <xdr:colOff>221850</xdr:colOff>
      <xdr:row>45</xdr:row>
      <xdr:rowOff>180976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0956ADA-C918-48EB-AD3A-88887CDD3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26</xdr:col>
      <xdr:colOff>9525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4C0AD07-A421-4C31-AD4C-6807368235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F3A3B3C-D25A-495C-B65C-FA00AE513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57150</xdr:colOff>
      <xdr:row>90</xdr:row>
      <xdr:rowOff>76200</xdr:rowOff>
    </xdr:from>
    <xdr:to>
      <xdr:col>25</xdr:col>
      <xdr:colOff>717150</xdr:colOff>
      <xdr:row>110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5FF1D63-1CD5-41F0-A31D-29075FF550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76200</xdr:colOff>
      <xdr:row>112</xdr:row>
      <xdr:rowOff>180975</xdr:rowOff>
    </xdr:from>
    <xdr:to>
      <xdr:col>25</xdr:col>
      <xdr:colOff>736200</xdr:colOff>
      <xdr:row>133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67E4F34C-4769-4B3E-BB23-BDF445E9D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285749</xdr:colOff>
      <xdr:row>134</xdr:row>
      <xdr:rowOff>66676</xdr:rowOff>
    </xdr:from>
    <xdr:to>
      <xdr:col>26</xdr:col>
      <xdr:colOff>28575</xdr:colOff>
      <xdr:row>154</xdr:row>
      <xdr:rowOff>9526</xdr:rowOff>
    </xdr:to>
    <xdr:graphicFrame macro="">
      <xdr:nvGraphicFramePr>
        <xdr:cNvPr id="10" name="Gráfico 40">
          <a:extLst>
            <a:ext uri="{FF2B5EF4-FFF2-40B4-BE49-F238E27FC236}">
              <a16:creationId xmlns:a16="http://schemas.microsoft.com/office/drawing/2014/main" id="{96A7B42A-F4F8-46FF-BDED-EE0623A910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0</xdr:colOff>
      <xdr:row>157</xdr:row>
      <xdr:rowOff>323850</xdr:rowOff>
    </xdr:from>
    <xdr:to>
      <xdr:col>25</xdr:col>
      <xdr:colOff>664762</xdr:colOff>
      <xdr:row>179</xdr:row>
      <xdr:rowOff>57151</xdr:rowOff>
    </xdr:to>
    <xdr:graphicFrame macro="">
      <xdr:nvGraphicFramePr>
        <xdr:cNvPr id="11" name="Gráfico 41">
          <a:extLst>
            <a:ext uri="{FF2B5EF4-FFF2-40B4-BE49-F238E27FC236}">
              <a16:creationId xmlns:a16="http://schemas.microsoft.com/office/drawing/2014/main" id="{6971D1B3-56E4-4665-8E78-55AA608CC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752475</xdr:colOff>
      <xdr:row>179</xdr:row>
      <xdr:rowOff>104775</xdr:rowOff>
    </xdr:from>
    <xdr:to>
      <xdr:col>25</xdr:col>
      <xdr:colOff>650475</xdr:colOff>
      <xdr:row>200</xdr:row>
      <xdr:rowOff>19051</xdr:rowOff>
    </xdr:to>
    <xdr:graphicFrame macro="">
      <xdr:nvGraphicFramePr>
        <xdr:cNvPr id="12" name="Gráfico 43">
          <a:extLst>
            <a:ext uri="{FF2B5EF4-FFF2-40B4-BE49-F238E27FC236}">
              <a16:creationId xmlns:a16="http://schemas.microsoft.com/office/drawing/2014/main" id="{648C9099-7133-4971-B52D-7AEDA10174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609600</xdr:colOff>
      <xdr:row>201</xdr:row>
      <xdr:rowOff>0</xdr:rowOff>
    </xdr:from>
    <xdr:to>
      <xdr:col>25</xdr:col>
      <xdr:colOff>507600</xdr:colOff>
      <xdr:row>221</xdr:row>
      <xdr:rowOff>104776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8E52348-A3F6-4CB8-BBDF-85C9E443E2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0</xdr:colOff>
      <xdr:row>223</xdr:row>
      <xdr:rowOff>0</xdr:rowOff>
    </xdr:from>
    <xdr:to>
      <xdr:col>25</xdr:col>
      <xdr:colOff>660000</xdr:colOff>
      <xdr:row>243</xdr:row>
      <xdr:rowOff>104776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537F54F1-E957-46B0-8DC9-A1E503B2B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0</xdr:colOff>
      <xdr:row>245</xdr:row>
      <xdr:rowOff>0</xdr:rowOff>
    </xdr:from>
    <xdr:to>
      <xdr:col>25</xdr:col>
      <xdr:colOff>660000</xdr:colOff>
      <xdr:row>265</xdr:row>
      <xdr:rowOff>104776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E8907319-913E-44A5-81B5-A775709D2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0</xdr:colOff>
      <xdr:row>267</xdr:row>
      <xdr:rowOff>0</xdr:rowOff>
    </xdr:from>
    <xdr:to>
      <xdr:col>25</xdr:col>
      <xdr:colOff>660000</xdr:colOff>
      <xdr:row>287</xdr:row>
      <xdr:rowOff>104776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B687F73-E300-42D5-9676-CC9E9C6E45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EM evol menusual lugar resd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Arona
(hotel + apartamento)</a:t>
          </a:fld>
          <a:endParaRPr lang="es-ES" sz="1100"/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0.99276</cdr:x>
      <cdr:y>0.1721</cdr:y>
    </cdr:to>
    <cdr:sp macro="" textlink="'EM evol menusual lugar resd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00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españoles entrados en los establecimientos alojativos de Arona (hotel + apartamento)</a:t>
          </a:fld>
          <a:endParaRPr lang="es-ES" sz="1100"/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0.99736</cdr:x>
      <cdr:y>0.1721</cdr:y>
    </cdr:to>
    <cdr:sp macro="" textlink="'EM evol menusual lugar resd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5817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peninsulares entrados en los establecimientos alojativos de Arona (hotel + apartamento)</a:t>
          </a:fld>
          <a:endParaRPr lang="es-ES" sz="1100"/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canarios entrados en los establecimientos alojativos de Arona (hotel + apartamento)</a:t>
          </a:fld>
          <a:endParaRPr lang="es-ES" sz="1100"/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92:$N$9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F9576AC-CD66-4AF4-9D7A-6723A4F689D7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extranjeros entrados en los establecimientos alojativos de Arona (hotel + apartamento)</a:t>
          </a:fld>
          <a:endParaRPr lang="es-ES" sz="1100"/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0.99046</cdr:x>
      <cdr:y>0.1721</cdr:y>
    </cdr:to>
    <cdr:sp macro="" textlink="'EM evol menusual lugar resd'!$B$114:$N$11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01024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6ED3218-5B10-4EC9-977D-8A66ABDC718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británicos entrados en los establecimientos alojativos de Arona (hotel + apartamento)</a:t>
          </a:fld>
          <a:endParaRPr lang="es-ES" sz="1100"/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0.00108</cdr:x>
      <cdr:y>0.96197</cdr:y>
    </cdr:from>
    <cdr:to>
      <cdr:x>0.51654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9525" y="4315662"/>
          <a:ext cx="4565049" cy="1706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0.9957</cdr:x>
      <cdr:y>0.14865</cdr:y>
    </cdr:to>
    <cdr:sp macro="" textlink="'EM evol menusual lugar resd'!$B$136:$N$13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6536"/>
          <a:ext cx="7729496" cy="6121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CF804C-98B5-4600-8BB0-DA6FB75388B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alemanes entrados en los establecimientos alojativos de Arona (hotel + apartamento)</a:t>
          </a:fld>
          <a:endParaRPr lang="es-ES" sz="1100"/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58:$N$15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208BB515-8B29-48C5-AF78-38E1E42120A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franceses entrados en los establecimientos alojativos de Arona (hotel + apartamento)</a:t>
          </a:fld>
          <a:endParaRPr lang="es-E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0.00373</cdr:x>
      <cdr:y>0.00391</cdr:y>
    </cdr:from>
    <cdr:to>
      <cdr:x>0.97796</cdr:x>
      <cdr:y>0.1721</cdr:y>
    </cdr:to>
    <cdr:sp macro="" textlink="'Viajeros entr evol mensu TF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32657" y="16690"/>
          <a:ext cx="8533252" cy="7179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Viajeros  entrados en los establecimientos alojativos de Arona 
(hotel + apartamento)</a:t>
          </a:fld>
          <a:endParaRPr lang="es-ES" sz="1100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180:$N$18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4E311B4-E254-490A-B2D1-DB87BC6D349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Arona (hotel + apartamento)</a:t>
          </a:fld>
          <a:endParaRPr lang="es-ES" sz="1100"/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0.99391</cdr:x>
      <cdr:y>0.1721</cdr:y>
    </cdr:to>
    <cdr:sp macro="" textlink="'EM evol menusual lugar resd'!$B$202:$N$202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7169"/>
          <a:ext cx="8229600" cy="738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D9C39B-0038-4808-B660-1FFFBD54799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holandeses entrados en los establecimientos alojativos de Arona (hotel + apartamento)</a:t>
          </a:fld>
          <a:endParaRPr lang="es-ES" sz="1100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24:$N$22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F6DB970-8AF5-4ACF-8E05-A57BF76B1B5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belgas entrados en los establecimientos alojativos de Arona (hotel + apartamento)</a:t>
          </a:fld>
          <a:endParaRPr lang="es-ES" sz="1100"/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46:$N$24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E52BDA80-C0F4-4A01-9A5D-806E76A2736B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daneses entrados en los establecimientos alojativos de Arona (hotel + apartamento)</a:t>
          </a:fld>
          <a:endParaRPr lang="es-ES" sz="1100"/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usual lugar resd'!$B$268:$N$26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3FEDF55F-EC40-4CCB-8271-796B623DE44D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de los viajeros suecos entrados en los establecimientos alojativos de Arona (hotel + apartamento)</a:t>
          </a:fld>
          <a:endParaRPr lang="es-ES" sz="1100"/>
        </a:p>
      </cdr:txBody>
    </cdr:sp>
  </cdr:relSizeAnchor>
</c:userShapes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409574</xdr:colOff>
      <xdr:row>2</xdr:row>
      <xdr:rowOff>142874</xdr:rowOff>
    </xdr:from>
    <xdr:to>
      <xdr:col>25</xdr:col>
      <xdr:colOff>307574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48AB39-D8C2-4B47-85E3-E5923C945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3</xdr:row>
      <xdr:rowOff>47625</xdr:rowOff>
    </xdr:from>
    <xdr:to>
      <xdr:col>0</xdr:col>
      <xdr:colOff>853440</xdr:colOff>
      <xdr:row>4</xdr:row>
      <xdr:rowOff>95250</xdr:rowOff>
    </xdr:to>
    <xdr:pic>
      <xdr:nvPicPr>
        <xdr:cNvPr id="3" name="Imagen 2" descr="Iconos Png Gratis Resume Volver Icono Descarga Gratuita - Pump ...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614C3F-278D-4268-90EE-486EC453C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19125"/>
          <a:ext cx="76771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93345</xdr:colOff>
      <xdr:row>2</xdr:row>
      <xdr:rowOff>133631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4A14B42-B07B-4B06-9E17-E27B3485C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4520" cy="514631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25</xdr:row>
      <xdr:rowOff>114300</xdr:rowOff>
    </xdr:from>
    <xdr:to>
      <xdr:col>25</xdr:col>
      <xdr:colOff>240900</xdr:colOff>
      <xdr:row>46</xdr:row>
      <xdr:rowOff>28576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AC8A28F-1E3D-4B95-B00A-4BFA4B2CE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676275</xdr:colOff>
      <xdr:row>46</xdr:row>
      <xdr:rowOff>142875</xdr:rowOff>
    </xdr:from>
    <xdr:to>
      <xdr:col>25</xdr:col>
      <xdr:colOff>574275</xdr:colOff>
      <xdr:row>67</xdr:row>
      <xdr:rowOff>57151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D185C43-9824-4C97-8A68-4226BBB79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69</xdr:row>
      <xdr:rowOff>0</xdr:rowOff>
    </xdr:from>
    <xdr:to>
      <xdr:col>25</xdr:col>
      <xdr:colOff>660000</xdr:colOff>
      <xdr:row>89</xdr:row>
      <xdr:rowOff>104776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B897F92-4FFA-4A09-BABF-15990DC29E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38100</xdr:colOff>
      <xdr:row>91</xdr:row>
      <xdr:rowOff>0</xdr:rowOff>
    </xdr:from>
    <xdr:to>
      <xdr:col>25</xdr:col>
      <xdr:colOff>698100</xdr:colOff>
      <xdr:row>111</xdr:row>
      <xdr:rowOff>85726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BF1E944-0219-4FD7-A4A1-F7EADEF3BE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:$N$4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0C01995-918E-4030-8C15-D1CA634D2456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establecimientos alojativos de Arona
(hotel + apartamento)</a:t>
          </a:fld>
          <a:endParaRPr lang="es-ES" sz="1100"/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</cdr:x>
      <cdr:y>0.95879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210050"/>
          <a:ext cx="4268009" cy="180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26:$N$26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6534CD3-0E35-499D-900B-14E52B15F893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Arona</a:t>
          </a:fld>
          <a:endParaRPr lang="es-ES" sz="1100"/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48:$N$48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E984419-F83A-4677-BE35-1CEB722A3034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4, 5 estrellas de Arona</a:t>
          </a:fld>
          <a:endParaRPr lang="es-ES" sz="1100"/>
        </a:p>
      </cdr:txBody>
    </cdr:sp>
  </cdr:relSizeAnchor>
  <cdr:relSizeAnchor xmlns:cdr="http://schemas.openxmlformats.org/drawingml/2006/chartDrawing">
    <cdr:from>
      <cdr:x>0.01304</cdr:x>
      <cdr:y>0.91106</cdr:y>
    </cdr:from>
    <cdr:to>
      <cdr:x>0.5285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33D3C7B1-03F3-939E-B177-216861D69B8A}"/>
            </a:ext>
          </a:extLst>
        </cdr:cNvPr>
        <cdr:cNvSpPr txBox="1"/>
      </cdr:nvSpPr>
      <cdr:spPr>
        <a:xfrm xmlns:a="http://schemas.openxmlformats.org/drawingml/2006/main">
          <a:off x="107950" y="4000501"/>
          <a:ext cx="4268009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* en el año 2022 no se publicó la desagregación por categorías en las Islas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</cdr:x>
      <cdr:y>0.96197</cdr:y>
    </cdr:from>
    <cdr:to>
      <cdr:x>0.51546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3F3C333A-74BE-4B15-A334-38708C5CCB3A}"/>
            </a:ext>
          </a:extLst>
        </cdr:cNvPr>
        <cdr:cNvSpPr txBox="1"/>
      </cdr:nvSpPr>
      <cdr:spPr>
        <a:xfrm xmlns:a="http://schemas.openxmlformats.org/drawingml/2006/main">
          <a:off x="0" y="4095750"/>
          <a:ext cx="3809972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chemeClr val="tx1">
                  <a:lumMod val="65000"/>
                  <a:lumOff val="35000"/>
                </a:schemeClr>
              </a:solidFill>
            </a:rPr>
            <a:t>FUENTE: Encuestas Alojamientos Turísticos (ISTAC). ELABORACIÓN: Turismo de Tenerife.</a:t>
          </a:r>
        </a:p>
      </cdr:txBody>
    </cdr:sp>
  </cdr:relSizeAnchor>
  <cdr:relSizeAnchor xmlns:cdr="http://schemas.openxmlformats.org/drawingml/2006/chartDrawing">
    <cdr:from>
      <cdr:x>0</cdr:x>
      <cdr:y>0.00391</cdr:y>
    </cdr:from>
    <cdr:to>
      <cdr:x>0.97423</cdr:x>
      <cdr:y>0.1721</cdr:y>
    </cdr:to>
    <cdr:sp macro="" textlink="'EM evol mensu TF cat '!$B$70:$N$70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94AAEC51-F9F8-42F1-82A2-DC0F2CA03A46}"/>
            </a:ext>
          </a:extLst>
        </cdr:cNvPr>
        <cdr:cNvSpPr txBox="1"/>
      </cdr:nvSpPr>
      <cdr:spPr>
        <a:xfrm xmlns:a="http://schemas.openxmlformats.org/drawingml/2006/main">
          <a:off x="0" y="14283"/>
          <a:ext cx="7200900" cy="614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579BBB21-4CAE-40D4-95AF-C9648D5980DA}" type="TxLink">
            <a:rPr lang="en-US" sz="1600" b="1" i="0" u="none" strike="noStrike">
              <a:solidFill>
                <a:srgbClr val="595959"/>
              </a:solidFill>
              <a:latin typeface="Calibri"/>
              <a:ea typeface="Calibri"/>
              <a:cs typeface="Calibri"/>
            </a:rPr>
            <a:pPr/>
            <a:t>Estancia Media en los hoteles de 1, 2, 3 Estrellas de Arona</a:t>
          </a:fld>
          <a:endParaRPr lang="es-ES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Tenerife azul">
    <a:dk1>
      <a:srgbClr val="373A36"/>
    </a:dk1>
    <a:lt1>
      <a:sysClr val="window" lastClr="FFFFFF"/>
    </a:lt1>
    <a:dk2>
      <a:srgbClr val="1F497D"/>
    </a:dk2>
    <a:lt2>
      <a:srgbClr val="EEECE1"/>
    </a:lt2>
    <a:accent1>
      <a:srgbClr val="1226AA"/>
    </a:accent1>
    <a:accent2>
      <a:srgbClr val="0071CE"/>
    </a:accent2>
    <a:accent3>
      <a:srgbClr val="1ECAD3"/>
    </a:accent3>
    <a:accent4>
      <a:srgbClr val="3CB4E5"/>
    </a:accent4>
    <a:accent5>
      <a:srgbClr val="F32735"/>
    </a:accent5>
    <a:accent6>
      <a:srgbClr val="0047BA"/>
    </a:accent6>
    <a:hlink>
      <a:srgbClr val="000B8C"/>
    </a:hlink>
    <a:folHlink>
      <a:srgbClr val="009ADE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Verde azulado">
    <a:dk1>
      <a:sysClr val="windowText" lastClr="000000"/>
    </a:dk1>
    <a:lt1>
      <a:sysClr val="window" lastClr="FFFFFF"/>
    </a:lt1>
    <a:dk2>
      <a:srgbClr val="373545"/>
    </a:dk2>
    <a:lt2>
      <a:srgbClr val="CEDBE6"/>
    </a:lt2>
    <a:accent1>
      <a:srgbClr val="3494BA"/>
    </a:accent1>
    <a:accent2>
      <a:srgbClr val="58B6C0"/>
    </a:accent2>
    <a:accent3>
      <a:srgbClr val="75BDA7"/>
    </a:accent3>
    <a:accent4>
      <a:srgbClr val="7A8C8E"/>
    </a:accent4>
    <a:accent5>
      <a:srgbClr val="84ACB6"/>
    </a:accent5>
    <a:accent6>
      <a:srgbClr val="2683C6"/>
    </a:accent6>
    <a:hlink>
      <a:srgbClr val="6B9F25"/>
    </a:hlink>
    <a:folHlink>
      <a:srgbClr val="9F6715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2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2.xml"/><Relationship Id="rId1" Type="http://schemas.openxmlformats.org/officeDocument/2006/relationships/printerSettings" Target="../printerSettings/printerSettings4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1DE35-33B5-4B6F-B0EF-8B4A9CA8B442}">
  <dimension ref="B1:M58"/>
  <sheetViews>
    <sheetView showGridLines="0" tabSelected="1" topLeftCell="A6" workbookViewId="0">
      <selection activeCell="H9" sqref="H9"/>
    </sheetView>
  </sheetViews>
  <sheetFormatPr baseColWidth="10" defaultRowHeight="15" x14ac:dyDescent="0.25"/>
  <cols>
    <col min="1" max="1" width="13.7109375" customWidth="1"/>
    <col min="2" max="2" width="147.7109375" customWidth="1"/>
  </cols>
  <sheetData>
    <row r="1" spans="2:13" x14ac:dyDescent="0.25">
      <c r="B1" s="1" t="s">
        <v>0</v>
      </c>
    </row>
    <row r="2" spans="2:13" ht="36" x14ac:dyDescent="0.55000000000000004">
      <c r="B2" s="2" t="s">
        <v>1</v>
      </c>
      <c r="M2" t="e">
        <f>#REF!/#REF!</f>
        <v>#REF!</v>
      </c>
    </row>
    <row r="3" spans="2:13" ht="36" x14ac:dyDescent="0.55000000000000004">
      <c r="B3" s="2" t="s">
        <v>48</v>
      </c>
    </row>
    <row r="4" spans="2:13" ht="23.25" x14ac:dyDescent="0.35">
      <c r="B4" s="3" t="s">
        <v>215</v>
      </c>
    </row>
    <row r="5" spans="2:13" x14ac:dyDescent="0.25">
      <c r="B5" s="4"/>
    </row>
    <row r="6" spans="2:13" ht="21.75" thickBot="1" x14ac:dyDescent="0.4">
      <c r="B6" s="5" t="s">
        <v>2</v>
      </c>
    </row>
    <row r="7" spans="2:13" ht="15.75" thickTop="1" x14ac:dyDescent="0.25"/>
    <row r="8" spans="2:13" ht="15.75" x14ac:dyDescent="0.25">
      <c r="B8" s="6" t="s">
        <v>216</v>
      </c>
    </row>
    <row r="9" spans="2:13" ht="15.75" x14ac:dyDescent="0.25">
      <c r="B9" s="6" t="s">
        <v>3</v>
      </c>
    </row>
    <row r="10" spans="2:13" ht="15.75" x14ac:dyDescent="0.25">
      <c r="B10" s="6"/>
    </row>
    <row r="11" spans="2:13" ht="19.5" thickBot="1" x14ac:dyDescent="0.35">
      <c r="B11" s="7" t="s">
        <v>4</v>
      </c>
    </row>
    <row r="12" spans="2:13" ht="18.75" x14ac:dyDescent="0.3">
      <c r="B12" s="8"/>
    </row>
    <row r="13" spans="2:13" ht="15.75" x14ac:dyDescent="0.25">
      <c r="B13" s="6" t="s">
        <v>5</v>
      </c>
    </row>
    <row r="14" spans="2:13" ht="15.75" x14ac:dyDescent="0.25">
      <c r="B14" s="6" t="s">
        <v>6</v>
      </c>
    </row>
    <row r="15" spans="2:13" x14ac:dyDescent="0.25">
      <c r="B15" s="9"/>
    </row>
    <row r="16" spans="2:13" ht="19.5" thickBot="1" x14ac:dyDescent="0.35">
      <c r="B16" s="7" t="s">
        <v>7</v>
      </c>
    </row>
    <row r="17" spans="2:2" ht="15.75" x14ac:dyDescent="0.25">
      <c r="B17" s="6"/>
    </row>
    <row r="18" spans="2:2" ht="15.75" x14ac:dyDescent="0.25">
      <c r="B18" s="10" t="s">
        <v>8</v>
      </c>
    </row>
    <row r="19" spans="2:2" ht="15.75" x14ac:dyDescent="0.25">
      <c r="B19" s="6" t="s">
        <v>217</v>
      </c>
    </row>
    <row r="20" spans="2:2" ht="15.75" x14ac:dyDescent="0.25">
      <c r="B20" s="6" t="s">
        <v>218</v>
      </c>
    </row>
    <row r="21" spans="2:2" ht="15.75" x14ac:dyDescent="0.25">
      <c r="B21" s="6" t="s">
        <v>219</v>
      </c>
    </row>
    <row r="22" spans="2:2" ht="15.75" x14ac:dyDescent="0.25">
      <c r="B22" s="6" t="s">
        <v>9</v>
      </c>
    </row>
    <row r="23" spans="2:2" ht="15.75" x14ac:dyDescent="0.25">
      <c r="B23" s="6" t="s">
        <v>10</v>
      </c>
    </row>
    <row r="24" spans="2:2" ht="15.75" x14ac:dyDescent="0.25">
      <c r="B24" s="6" t="s">
        <v>11</v>
      </c>
    </row>
    <row r="25" spans="2:2" ht="15.75" x14ac:dyDescent="0.25">
      <c r="B25" s="6" t="s">
        <v>12</v>
      </c>
    </row>
    <row r="26" spans="2:2" ht="15.75" x14ac:dyDescent="0.25">
      <c r="B26" s="6" t="s">
        <v>13</v>
      </c>
    </row>
    <row r="27" spans="2:2" ht="15.75" x14ac:dyDescent="0.25">
      <c r="B27" s="6" t="s">
        <v>14</v>
      </c>
    </row>
    <row r="28" spans="2:2" ht="15.75" x14ac:dyDescent="0.25">
      <c r="B28" s="6" t="s">
        <v>15</v>
      </c>
    </row>
    <row r="29" spans="2:2" ht="15.75" x14ac:dyDescent="0.25">
      <c r="B29" s="6" t="s">
        <v>16</v>
      </c>
    </row>
    <row r="30" spans="2:2" ht="15.75" x14ac:dyDescent="0.25">
      <c r="B30" s="6" t="s">
        <v>17</v>
      </c>
    </row>
    <row r="31" spans="2:2" ht="15.75" x14ac:dyDescent="0.25">
      <c r="B31" s="10" t="s">
        <v>18</v>
      </c>
    </row>
    <row r="32" spans="2:2" ht="15.75" x14ac:dyDescent="0.25">
      <c r="B32" s="6" t="s">
        <v>19</v>
      </c>
    </row>
    <row r="33" spans="2:2" ht="15.75" x14ac:dyDescent="0.25">
      <c r="B33" s="6" t="s">
        <v>20</v>
      </c>
    </row>
    <row r="34" spans="2:2" ht="15.75" x14ac:dyDescent="0.25">
      <c r="B34" s="6" t="s">
        <v>21</v>
      </c>
    </row>
    <row r="35" spans="2:2" ht="15.75" x14ac:dyDescent="0.25">
      <c r="B35" s="6" t="s">
        <v>220</v>
      </c>
    </row>
    <row r="36" spans="2:2" ht="15.75" x14ac:dyDescent="0.25">
      <c r="B36" s="10" t="s">
        <v>22</v>
      </c>
    </row>
    <row r="37" spans="2:2" ht="15.75" x14ac:dyDescent="0.25">
      <c r="B37" s="6" t="s">
        <v>221</v>
      </c>
    </row>
    <row r="38" spans="2:2" ht="15.75" x14ac:dyDescent="0.25">
      <c r="B38" s="6" t="s">
        <v>222</v>
      </c>
    </row>
    <row r="39" spans="2:2" ht="15.75" x14ac:dyDescent="0.25">
      <c r="B39" s="6" t="str">
        <f>CONCATENATE("Pernoctaciones en los establecimientos alojativos de Tenerife según lugar de residencia y municipio de alojamiento (hotel + apartamento) - mes")</f>
        <v>Pernoctaciones en los establecimientos alojativos de Tenerife según lugar de residencia y municipio de alojamiento (hotel + apartamento) - mes</v>
      </c>
    </row>
    <row r="40" spans="2:2" ht="15.75" x14ac:dyDescent="0.25">
      <c r="B40" s="6" t="str">
        <f>CONCATENATE("Pernoctaciones en los establecimientos alojativos de Tenerife según lugar de residencia y municipio de alojamiento (hotel + apartamento) - acumulado")</f>
        <v>Pernoctaciones en los establecimientos alojativos de Tenerife según lugar de residencia y municipio de alojamiento (hotel + apartamento) - acumulado</v>
      </c>
    </row>
    <row r="41" spans="2:2" ht="15.75" x14ac:dyDescent="0.25">
      <c r="B41" s="6" t="str">
        <f>CONCATENATE("Pernoctaciones en los establecimientos alojativos de Tenerife según lugar de residencia y municipio de alojamiento (hotel + apartamento) - año")</f>
        <v>Pernoctaciones en los establecimientos alojativos de Tenerife según lugar de residencia y municipio de alojamiento (hotel + apartamento) - año</v>
      </c>
    </row>
    <row r="42" spans="2:2" ht="15.75" x14ac:dyDescent="0.25">
      <c r="B42" s="10" t="s">
        <v>23</v>
      </c>
    </row>
    <row r="43" spans="2:2" ht="15.75" x14ac:dyDescent="0.25">
      <c r="B43" s="6" t="s">
        <v>223</v>
      </c>
    </row>
    <row r="44" spans="2:2" ht="15.75" x14ac:dyDescent="0.25">
      <c r="B44" s="6" t="s">
        <v>224</v>
      </c>
    </row>
    <row r="45" spans="2:2" ht="15.75" x14ac:dyDescent="0.25">
      <c r="B45" s="10" t="s">
        <v>24</v>
      </c>
    </row>
    <row r="46" spans="2:2" ht="15.75" x14ac:dyDescent="0.25">
      <c r="B46" s="6" t="s">
        <v>225</v>
      </c>
    </row>
    <row r="47" spans="2:2" ht="15.75" x14ac:dyDescent="0.25">
      <c r="B47" s="10" t="s">
        <v>25</v>
      </c>
    </row>
    <row r="48" spans="2:2" ht="31.5" x14ac:dyDescent="0.25">
      <c r="B48" s="11" t="s">
        <v>26</v>
      </c>
    </row>
    <row r="49" spans="2:2" ht="15.75" x14ac:dyDescent="0.25">
      <c r="B49" s="11" t="s">
        <v>27</v>
      </c>
    </row>
    <row r="50" spans="2:2" ht="15.75" x14ac:dyDescent="0.25">
      <c r="B50" s="11" t="s">
        <v>28</v>
      </c>
    </row>
    <row r="51" spans="2:2" ht="15.75" x14ac:dyDescent="0.25">
      <c r="B51" s="10" t="s">
        <v>29</v>
      </c>
    </row>
    <row r="52" spans="2:2" ht="15.75" x14ac:dyDescent="0.25">
      <c r="B52" s="6" t="s">
        <v>226</v>
      </c>
    </row>
    <row r="53" spans="2:2" ht="15.75" x14ac:dyDescent="0.25">
      <c r="B53" s="6" t="s">
        <v>227</v>
      </c>
    </row>
    <row r="54" spans="2:2" ht="15.75" x14ac:dyDescent="0.25">
      <c r="B54" s="6" t="s">
        <v>228</v>
      </c>
    </row>
    <row r="55" spans="2:2" ht="15.75" x14ac:dyDescent="0.25">
      <c r="B55" s="6" t="s">
        <v>229</v>
      </c>
    </row>
    <row r="56" spans="2:2" ht="15.75" x14ac:dyDescent="0.25">
      <c r="B56" s="6" t="s">
        <v>30</v>
      </c>
    </row>
    <row r="57" spans="2:2" ht="15.75" x14ac:dyDescent="0.25">
      <c r="B57" s="6" t="s">
        <v>31</v>
      </c>
    </row>
    <row r="58" spans="2:2" ht="15.75" x14ac:dyDescent="0.25">
      <c r="B58" s="6" t="s">
        <v>32</v>
      </c>
    </row>
  </sheetData>
  <hyperlinks>
    <hyperlink ref="B13" location="'Plazas aloj islas cat y tipolog'!A1" tooltip="Plazas alojativas Canarias e islas" display="Plazas alojativas Canarias e islas" xr:uid="{D88320F1-E88D-4F3A-8B9D-CC6A243967B6}"/>
    <hyperlink ref="B19" location="'Viajeros entr evol mensu TF'!A1" tooltip="Evolución mensual de viajeros entrentrados en Tenerife según lugar de residencia" display="Evolución mensual de viajeros entrados en Tenerife según lugar de residencia" xr:uid="{3EDA54CE-7D46-4093-8AAA-74A66AF614E7}"/>
    <hyperlink ref="B14" location="'Establecim aloj islas cat y tip'!A1" tooltip="Establecimientos alojativos Canarias e islas" display="Establecimientos alojativos Canarias e islas" xr:uid="{FD3D9783-4B36-4850-A95A-FCEBDA2340E8}"/>
    <hyperlink ref="B32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mes" xr:uid="{D41B5AEB-FB0D-4BF2-9B54-6E107F712763}"/>
    <hyperlink ref="B23" location="'Viajeros entr ti-cat ultimo mes'!A1" tooltip="Viajeros entrados en los establecimientos alojativos de Tenerife por municipio y categoría " display="Viajeros entrados en los establecimientos alojativos de Tenerife por municipio y categoría " xr:uid="{012B080D-30BE-4912-ADC4-09B5F6AFF98C}"/>
    <hyperlink ref="B39" location="'Pernoctaciones lugar reside'!A1" tooltip="Pernoctaciones registradas en establecimientos alojativos de Canarias e islas según tipología y categoría" display="'Pernoctaciones lugar reside'!A1" xr:uid="{E653699A-B494-414C-8FF6-0C8A37D94C8D}"/>
    <hyperlink ref="B8" location="'Resumen indicadores (aloj)'!A1" tooltip="Resumen indicadores Tenerife" display="'Resumen indicadores (aloj)'!A1" xr:uid="{D9285631-CC1A-4E61-A08E-5CAAEDE93725}"/>
    <hyperlink ref="B9" location="'Resumen indicadores municipios '!A1" tooltip="Resumen indicadores municipios Tenerife" display="Resumen indicadores municipios Tenerife" xr:uid="{003FC46D-881D-41CF-A16D-BF5560F2A886}"/>
    <hyperlink ref="B20" location="'Viajeros entr evol mensu TF cat'!A1" tooltip="Evolución mensual de viajeros entrentrados en Tenerife según lugar de residencia" display="'Viajeros entr evol mensu TF cat'!A1" xr:uid="{B97254E8-F931-4EDB-BD88-AA6E7476287B}"/>
    <hyperlink ref="B21" location="'Viajeros entr evol anual TF cat'!A1" tooltip="Evolución mensual de viajeros entrentrados en Tenerife según lugar de residencia" display="'Viajeros entr evol anual TF cat'!A1" xr:uid="{E4A96851-F6F5-400E-A981-07469AE620AA}"/>
    <hyperlink ref="B33" location="'viaj aloj lugar residen mes'!A1" tooltip="Viajeros alojados en los establecimientos alojativos de Tenerife según lugar de residencia y municipio de alojamiento" display="Viajeros alojados en los establecimientos alojativos de Tenerife según lugar de residencia y municipio de alojamiento - acumulado" xr:uid="{8BB17E14-5C88-45F8-A977-090A30971488}"/>
    <hyperlink ref="B24" location="'viaj entrados lugar resid años '!A1" tooltip="Viajeros entrados en los establecimientos alojativos de Tenerife según lugar de residencia y municipio de alojamiento" display="Viajeros entrados en los establecimientos alojativos de Tenerife según lugar de residencia y municipio de alojamiento - año" xr:uid="{2C9E3F1C-152F-4140-8BB7-66A93C8CD6BB}"/>
    <hyperlink ref="B25" location="'viaj entrados lugar residencia'!A1" tooltip="Viajeros entrados en los establecimientos alojativos de Tenerife según lugar de residencia y municipio de alojamiento" display="Viajeros entrados en los establecimientos alojativos de Tenerife según lugar de residencia y municipio de alojamiento - mes" xr:uid="{B9BDAEC8-7B77-4BDC-B3BD-41199777FBCE}"/>
    <hyperlink ref="B26" location="'viaj entrados lugar residen acu'!A1" tooltip="Viajeros entrados en los establecimientos alojativos de Tenerife según lugar de residencia y municipio de alojamiento" display="Viajeros entrados en los establecimientos alojativos de Tenerife según lugar de residencia y municipio de alojamiento - acumulado" xr:uid="{42FDA13D-8075-47CC-9A45-F593D6B1F834}"/>
    <hyperlink ref="B27:B28" location="'viaj entrados lugar residen acu'!A1" tooltip="Viajeros entrados en los establecimientos alojativos de según lugar de residencia y municipio de alojamiento" display="Viajeros entrados en los establecimientos alojativos de según lugar de residencia y municipio de alojamiento - acumulado" xr:uid="{3CFA1386-0156-40CC-83D7-B60456DB749F}"/>
    <hyperlink ref="B27" location="'viaj entrados lugar residen hot'!A1" tooltip="Viajeros entrados en los hoteles de Tenerife según lugar de residencia y municipio de alojamiento - acumulado" display="Viajeros entrados en los hoteles de Tenerife según lugar de residencia y municipio de alojamiento - acumulado" xr:uid="{3E21A928-7ACF-49B1-9B15-BBF3B88C83D9}"/>
    <hyperlink ref="B29" location="'viaj entrados lugar residen cat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cumulado" xr:uid="{C0F6A6F0-5503-4F97-BD48-42AD017B7D6B}"/>
    <hyperlink ref="B28" location="'viaj entrados lugar residen apt'!A1" tooltip="Viajeros entrados en los apartamentos de Tenerife según lugar de residencia y municipio de alojamiento" display="Viajeros entrados en los apartamentos de Tenerife según lugar de residencia y municipio de alojamiento - acumulado" xr:uid="{F54C6954-3D6D-4EC4-8327-F440C089BACD}"/>
    <hyperlink ref="B30" location="'viaj entr lugar res año categor'!A1" tooltip="Viajeros entrados en los establecimientos hoteleros de Tenerife según lugar de residencia, categoría y municipio del alojamiento" display="Viajeros entrados en los establecimientos hoteleros de Tenerife según lugar de residencia, categoría y municipio del alojamiento - año" xr:uid="{C48657E2-495B-4B24-8EFE-15A1C1C46CA3}"/>
    <hyperlink ref="B52" location="'distribución españoles x Resid'!A1" tooltip="=CONCATENAR(&quot;Viajeros españoles entrados en los hoteles y apartamentos de &quot;;Actualizaciones!$B$3;&quot; según lugar de residencia&quot;)" display="=CONCATENAR(&quot;Viajeros españoles entrados en los hoteles y apartamentos de &quot;;Actualizaciones!$B$3;&quot; según lugar de residencia - acumulado&quot;)" xr:uid="{EBF0F0FD-EEC4-4F7A-A297-348DED52F533}"/>
    <hyperlink ref="B22" location="'distribución españoles x mun al'!A1" tooltip="Viajeros peninsulares entrados en los hoteles y apartamentos de Tenerife por municipio de alojamiento" display="Viajeros peninsulares entrados en los hoteles y apartamentos de Tenerife por municipio de alojamiento - acumulado" xr:uid="{2BD7B8FF-17BC-4A49-8AFD-6105B61CF20A}"/>
    <hyperlink ref="B55" location="'distribución canarias x munici'!A1" tooltip="=CONCATENAR(&quot;Viajeros canarios entrados en los hoteles y apartamentos de &quot;;Actualizaciones!$B$3;&quot; por tipología y categoría de alojamiento&quot;)" display="'distribución canarias x munici'!A1" xr:uid="{BF463FF1-0150-4195-846A-B095CBB204BB}"/>
    <hyperlink ref="B37" location="'Pernoctaciones evol mensu TF'!A1" tooltip="Evolución mensual de pernoctaciones en Tenerife según lugar de residencia" display="'Pernoctaciones evol mensu TF'!A1" xr:uid="{E6BE803D-B837-4A5C-A6C2-A7A3544FE8A0}"/>
    <hyperlink ref="B38" location="'Pernocta evol mensu TF cat'!A1" tooltip="Evolución mensual de pernoctaciones en Tenerife según lugar de residencia" display="'Pernocta evol mensu TF cat'!A1" xr:uid="{B13BD33B-B33E-4AB2-A9D4-E1247C5774B7}"/>
    <hyperlink ref="B40" location="'Pernoctaciones lugar residen ac'!A1" tooltip="Pernoctaciones registradas en establecimientos alojativos de Canarias e islas según tipología y categoría" display="'Pernoctaciones lugar residen ac'!A1" xr:uid="{080DD0EC-D956-484E-BC77-EF725056A927}"/>
    <hyperlink ref="B41" location="'Pernoctaciones lugar reside año'!A1" tooltip="Pernoctaciones registradas en establecimientos alojativos de Canarias e islas según tipología y categoría" display="'Pernoctaciones lugar reside año'!A1" xr:uid="{C591A9F7-A752-4D87-9532-C644CC7B7624}"/>
    <hyperlink ref="B48" location="'ADR RevPAR ingresos totales ult'!A1" tooltip="Pernoctaciones registradas en establecimientos alojativos de Canarias e islas según tipología y categoría" display="Tarifa media diaria ADR por habitación en los establecimientos alojativos Tenerife por municipio  (hotel + apartamento) " xr:uid="{9A102692-9D40-4CD2-B60E-FD2EFE17EE2A}"/>
    <hyperlink ref="B43" location="'EM evol menusual lugar resd'!A1" tooltip="Evolución mensual de estancia media en Tenerife según lugar de residencia" display="'EM evol menusual lugar resd'!A1" xr:uid="{40157121-9E0C-423F-B867-3E65CBBEF557}"/>
    <hyperlink ref="B44" location="'EM evol mensu TF cat '!A1" tooltip="Evolución mensual de estancia media en Tenerife según lugar de residencia" display="'EM evol mensu TF cat '!A1" xr:uid="{0BBEF374-5585-4D2E-861D-57FA9411CCFF}"/>
    <hyperlink ref="B46" location="'tasa de ocupación evol mens'!A1" tooltip="Evolución mensual de estancia media en Tenerife según lugar de residencia" display="'tasa de ocupación evol mens'!A1" xr:uid="{F4ED76ED-8CB9-487C-9612-3283481003F3}"/>
    <hyperlink ref="B54" location="'distribución peninsula x munici'!A1" tooltip="=CONCATENAR(&quot;Viajeros peninsulares entrados en los hoteles y apartamentos de &quot;;Actualizaciones!$B$3;&quot; por tipología y categoría de alojamiento&quot;)" display="'distribución peninsula x munici'!A1" xr:uid="{A00E99F5-D4D0-44B5-A2C7-F061B1358CEA}"/>
    <hyperlink ref="B53" location="'distribución españoles x mun al'!A1" tooltip="=CONCATENAR(&quot;Viajeros españoles entrados en los hoteles y apartamentos de &quot;;Actualizaciones!$B$3;&quot; por tipología y categoría de alojamiento&quot;)" display="'distribución españoles x mun al'!A1" xr:uid="{26B8F976-FD06-4F63-85AB-D3156317469B}"/>
    <hyperlink ref="B56" location="'evolución anual viaj ent españo'!A1" tooltip="Viajeros españoles entrados en los hoteles y apartamentos de Tenerife por municipio de alojamiento" display="Viajeros españoles entrados en los hoteles y apartamentos de Tenerife por municipio de alojamiento" xr:uid="{86AAD388-A6BD-4571-9A39-63DD270E98DE}"/>
    <hyperlink ref="B57" location="'evolución anual viaj ent penins'!A1" tooltip="Viajeros peninsulares entrados en los hoteles y apartamentos de Tenerife por municipio de alojamiento" display="Viajeros peninsulares entrados en los hoteles y apartamentos de Tenerife por municipio de alojamiento" xr:uid="{3E8C5719-B92C-4632-856A-CAEEC6652500}"/>
    <hyperlink ref="B58" location="'evolución anual viaj ent canari'!A1" tooltip="Viajeros canarios entrados en los hoteles y apartamentos de Tenerife por municipio de alojamiento" display="Viajeros canarios entrados en los hoteles y apartamentos de Tenerife por municipio de alojamiento" xr:uid="{5D75B611-B1A6-4477-B03C-00BD455DD0BB}"/>
    <hyperlink ref="B49" location="'ADR municipios'!A1" display="Tarifa media diaria (ADR) Tenerife y municipios" xr:uid="{24FCA005-27CC-47EA-8B7C-71FC7F20C552}"/>
    <hyperlink ref="B50" location="'RevPAR  municipios'!A1" display="Ingresos medios por habitación (RevPar) Tenerife y municipios" xr:uid="{4F54AE7F-AD2A-4057-A949-D69E16F2C6B5}"/>
    <hyperlink ref="B34" location="'viaj aloj lugar resid año'!A1" tooltip="Viajeros alojados en los establecimientos alojativos de Tenerife según lugar de residencia y municipio de alojamiento" display="Viajeros alojados en los establecimientos alojativos de Tenerife según lugar de residencia y municipio de alojamiento - año" xr:uid="{3BA801D3-005F-4D6D-A9F2-DA476BC18FB7}"/>
    <hyperlink ref="B35" location="'Viajeros aloj evol anual TF'!A1" tooltip="Evolución mensual de viajeros entrentrados en Tenerife según lugar de residencia" display="'Viajeros aloj evol anual TF'!A1" xr:uid="{607AD6C0-9402-425A-884D-75D5A050869E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3CBB7-F9C0-4B22-99CE-9B5464EFBD01}">
  <sheetPr>
    <tabColor theme="7" tint="0.79998168889431442"/>
  </sheetPr>
  <dimension ref="A4:O114"/>
  <sheetViews>
    <sheetView showGridLines="0" topLeftCell="E1" zoomScaleNormal="100" workbookViewId="0">
      <selection activeCell="H9" sqref="H9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255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 t="shared" ref="E7" si="0">G7-1</f>
        <v>2021</v>
      </c>
      <c r="F7" s="308"/>
      <c r="G7" s="309">
        <f t="shared" ref="G7" si="1">I7-1</f>
        <v>2022</v>
      </c>
      <c r="H7" s="308"/>
      <c r="I7" s="309">
        <f t="shared" ref="I7" si="2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102767</v>
      </c>
      <c r="D9" s="121">
        <v>8.4192760207635331E-3</v>
      </c>
      <c r="E9" s="120">
        <v>8010</v>
      </c>
      <c r="F9" s="121">
        <f t="shared" ref="F9:L21" si="3">IFERROR(E9/C9-1,"-")</f>
        <v>-0.92205669135033619</v>
      </c>
      <c r="G9" s="120">
        <v>72992</v>
      </c>
      <c r="H9" s="121">
        <f t="shared" si="3"/>
        <v>8.1126092384519346</v>
      </c>
      <c r="I9" s="120">
        <v>102127</v>
      </c>
      <c r="J9" s="121">
        <f t="shared" si="3"/>
        <v>0.39915333187198598</v>
      </c>
      <c r="K9" s="120">
        <v>102133</v>
      </c>
      <c r="L9" s="121">
        <f t="shared" si="3"/>
        <v>5.8750379429595156E-5</v>
      </c>
      <c r="M9" s="120">
        <v>108758</v>
      </c>
      <c r="N9" s="121">
        <f t="shared" ref="N9" si="4">IFERROR(M9/K9-1,"-")</f>
        <v>6.4866399694516019E-2</v>
      </c>
    </row>
    <row r="10" spans="1:15" x14ac:dyDescent="0.25">
      <c r="A10" s="1" t="s">
        <v>75</v>
      </c>
      <c r="B10" s="119" t="s">
        <v>76</v>
      </c>
      <c r="C10" s="120">
        <v>105310</v>
      </c>
      <c r="D10" s="121">
        <v>5.3089469105308984E-2</v>
      </c>
      <c r="E10" s="120">
        <v>10131</v>
      </c>
      <c r="F10" s="121">
        <f t="shared" si="3"/>
        <v>-0.90379830975216024</v>
      </c>
      <c r="G10" s="120">
        <v>88104</v>
      </c>
      <c r="H10" s="121">
        <f t="shared" si="3"/>
        <v>7.6964761622742071</v>
      </c>
      <c r="I10" s="120">
        <v>102173</v>
      </c>
      <c r="J10" s="121">
        <f t="shared" si="3"/>
        <v>0.15968627985108519</v>
      </c>
      <c r="K10" s="120">
        <v>112246</v>
      </c>
      <c r="L10" s="121">
        <f t="shared" si="3"/>
        <v>9.8587689507012577E-2</v>
      </c>
      <c r="M10" s="120">
        <v>115019</v>
      </c>
      <c r="N10" s="121">
        <f>IFERROR(M10/K10-1,"-")</f>
        <v>2.4704666536001341E-2</v>
      </c>
    </row>
    <row r="11" spans="1:15" x14ac:dyDescent="0.25">
      <c r="A11" s="1" t="s">
        <v>77</v>
      </c>
      <c r="B11" s="119" t="s">
        <v>78</v>
      </c>
      <c r="C11" s="120">
        <v>41200</v>
      </c>
      <c r="D11" s="121">
        <v>-0.65453341047635816</v>
      </c>
      <c r="E11" s="120">
        <v>12907</v>
      </c>
      <c r="F11" s="121">
        <f t="shared" si="3"/>
        <v>-0.68672330097087375</v>
      </c>
      <c r="G11" s="120">
        <v>104660</v>
      </c>
      <c r="H11" s="121">
        <f t="shared" si="3"/>
        <v>7.1087781823816538</v>
      </c>
      <c r="I11" s="120">
        <v>114283</v>
      </c>
      <c r="J11" s="121">
        <f t="shared" si="3"/>
        <v>9.1945346837378095E-2</v>
      </c>
      <c r="K11" s="120">
        <v>122937</v>
      </c>
      <c r="L11" s="121">
        <f t="shared" si="3"/>
        <v>7.5724298452088279E-2</v>
      </c>
      <c r="M11" s="120">
        <v>123198</v>
      </c>
      <c r="N11" s="121">
        <f>IFERROR(M11/K11-1,"-")</f>
        <v>2.1230386295418846E-3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13736</v>
      </c>
      <c r="F12" s="121" t="str">
        <f t="shared" si="3"/>
        <v>-</v>
      </c>
      <c r="G12" s="120">
        <v>110839</v>
      </c>
      <c r="H12" s="121">
        <f t="shared" si="3"/>
        <v>7.0692341292952818</v>
      </c>
      <c r="I12" s="120">
        <v>112901</v>
      </c>
      <c r="J12" s="121">
        <f t="shared" si="3"/>
        <v>1.8603560118730877E-2</v>
      </c>
      <c r="K12" s="120">
        <v>113542</v>
      </c>
      <c r="L12" s="121">
        <f t="shared" si="3"/>
        <v>5.6775405000841772E-3</v>
      </c>
      <c r="M12" s="120">
        <v>115519</v>
      </c>
      <c r="N12" s="121">
        <f>IFERROR(M12/K12-1,"-")</f>
        <v>1.7412058973771849E-2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15428</v>
      </c>
      <c r="F13" s="121" t="str">
        <f t="shared" si="3"/>
        <v>-</v>
      </c>
      <c r="G13" s="120">
        <v>97379</v>
      </c>
      <c r="H13" s="121">
        <f t="shared" si="3"/>
        <v>5.3118356235416124</v>
      </c>
      <c r="I13" s="120">
        <v>96632</v>
      </c>
      <c r="J13" s="121">
        <f t="shared" si="3"/>
        <v>-7.671058441758527E-3</v>
      </c>
      <c r="K13" s="120">
        <v>110622</v>
      </c>
      <c r="L13" s="121">
        <f t="shared" si="3"/>
        <v>0.14477605762066403</v>
      </c>
      <c r="M13" s="120">
        <v>116586</v>
      </c>
      <c r="N13" s="121">
        <f>IFERROR(M13/K13-1,"-")</f>
        <v>5.3913326463090439E-2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21147</v>
      </c>
      <c r="F14" s="121" t="str">
        <f t="shared" si="3"/>
        <v>-</v>
      </c>
      <c r="G14" s="120">
        <v>99145</v>
      </c>
      <c r="H14" s="121">
        <f t="shared" si="3"/>
        <v>3.6883718730789239</v>
      </c>
      <c r="I14" s="120">
        <v>109784</v>
      </c>
      <c r="J14" s="121">
        <f t="shared" si="3"/>
        <v>0.1073074789449795</v>
      </c>
      <c r="K14" s="120">
        <v>113390</v>
      </c>
      <c r="L14" s="121">
        <f t="shared" si="3"/>
        <v>3.2846316403118747E-2</v>
      </c>
      <c r="M14" s="120">
        <v>117164</v>
      </c>
      <c r="N14" s="121">
        <f t="shared" ref="N14:N20" si="5">IFERROR(M14/K14-1,"-")</f>
        <v>3.3283358320839618E-2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42074</v>
      </c>
      <c r="F15" s="121" t="str">
        <f t="shared" si="3"/>
        <v>-</v>
      </c>
      <c r="G15" s="120">
        <v>119732</v>
      </c>
      <c r="H15" s="121">
        <f t="shared" si="3"/>
        <v>1.8457479678661408</v>
      </c>
      <c r="I15" s="120">
        <v>113228</v>
      </c>
      <c r="J15" s="121">
        <f t="shared" si="3"/>
        <v>-5.4321317609327457E-2</v>
      </c>
      <c r="K15" s="120">
        <v>121148</v>
      </c>
      <c r="L15" s="121">
        <f t="shared" si="3"/>
        <v>6.9947362843113092E-2</v>
      </c>
      <c r="M15" s="120">
        <v>126014</v>
      </c>
      <c r="N15" s="121">
        <f t="shared" si="5"/>
        <v>4.0165747680523056E-2</v>
      </c>
    </row>
    <row r="16" spans="1:15" x14ac:dyDescent="0.25">
      <c r="A16" s="1" t="s">
        <v>87</v>
      </c>
      <c r="B16" s="119" t="s">
        <v>88</v>
      </c>
      <c r="C16" s="120">
        <v>30803</v>
      </c>
      <c r="D16" s="121">
        <v>-0.74237228597236626</v>
      </c>
      <c r="E16" s="120">
        <v>53067</v>
      </c>
      <c r="F16" s="121">
        <f t="shared" si="3"/>
        <v>0.72278674155114753</v>
      </c>
      <c r="G16" s="120">
        <v>117894</v>
      </c>
      <c r="H16" s="121">
        <f t="shared" si="3"/>
        <v>1.2216066481994461</v>
      </c>
      <c r="I16" s="120">
        <v>116797</v>
      </c>
      <c r="J16" s="121">
        <f t="shared" si="3"/>
        <v>-9.3049688703411571E-3</v>
      </c>
      <c r="K16" s="120">
        <v>126181</v>
      </c>
      <c r="L16" s="121">
        <f t="shared" si="3"/>
        <v>8.0344529397159192E-2</v>
      </c>
      <c r="M16" s="120">
        <v>123588</v>
      </c>
      <c r="N16" s="121">
        <f t="shared" si="5"/>
        <v>-2.0549845063836836E-2</v>
      </c>
    </row>
    <row r="17" spans="1:15" x14ac:dyDescent="0.25">
      <c r="A17" s="1" t="s">
        <v>89</v>
      </c>
      <c r="B17" s="119" t="s">
        <v>90</v>
      </c>
      <c r="C17" s="120">
        <v>18180</v>
      </c>
      <c r="D17" s="121">
        <v>-0.81693502099507598</v>
      </c>
      <c r="E17" s="120">
        <v>59020</v>
      </c>
      <c r="F17" s="121">
        <f t="shared" si="3"/>
        <v>2.2464246424642464</v>
      </c>
      <c r="G17" s="120">
        <v>103298</v>
      </c>
      <c r="H17" s="121">
        <f t="shared" si="3"/>
        <v>0.7502202643171807</v>
      </c>
      <c r="I17" s="120">
        <v>107312</v>
      </c>
      <c r="J17" s="121">
        <f t="shared" si="3"/>
        <v>3.8858448372669274E-2</v>
      </c>
      <c r="K17" s="120">
        <v>111150</v>
      </c>
      <c r="L17" s="121">
        <f t="shared" si="3"/>
        <v>3.5764872521246494E-2</v>
      </c>
      <c r="M17" s="120">
        <v>115871</v>
      </c>
      <c r="N17" s="121">
        <f t="shared" si="5"/>
        <v>4.2474134053081425E-2</v>
      </c>
    </row>
    <row r="18" spans="1:15" x14ac:dyDescent="0.25">
      <c r="A18" s="1" t="s">
        <v>91</v>
      </c>
      <c r="B18" s="119" t="s">
        <v>92</v>
      </c>
      <c r="C18" s="120">
        <v>21674</v>
      </c>
      <c r="D18" s="121">
        <v>-0.80267302754966408</v>
      </c>
      <c r="E18" s="120">
        <v>89457</v>
      </c>
      <c r="F18" s="121">
        <f t="shared" si="3"/>
        <v>3.127387653409615</v>
      </c>
      <c r="G18" s="120">
        <v>113209</v>
      </c>
      <c r="H18" s="121">
        <f t="shared" si="3"/>
        <v>0.26551303978447738</v>
      </c>
      <c r="I18" s="120">
        <v>119521</v>
      </c>
      <c r="J18" s="121">
        <f t="shared" si="3"/>
        <v>5.5755284473849143E-2</v>
      </c>
      <c r="K18" s="120">
        <v>125080</v>
      </c>
      <c r="L18" s="121">
        <f t="shared" si="3"/>
        <v>4.6510655031333448E-2</v>
      </c>
      <c r="M18" s="120">
        <v>130415</v>
      </c>
      <c r="N18" s="121">
        <f t="shared" si="5"/>
        <v>4.2652702270546961E-2</v>
      </c>
    </row>
    <row r="19" spans="1:15" x14ac:dyDescent="0.25">
      <c r="A19" s="1" t="s">
        <v>93</v>
      </c>
      <c r="B19" s="119" t="s">
        <v>94</v>
      </c>
      <c r="C19" s="120">
        <v>16498</v>
      </c>
      <c r="D19" s="121">
        <v>-0.8463372607460532</v>
      </c>
      <c r="E19" s="120">
        <v>88426</v>
      </c>
      <c r="F19" s="121">
        <f t="shared" si="3"/>
        <v>4.3598011880227903</v>
      </c>
      <c r="G19" s="120">
        <v>107366</v>
      </c>
      <c r="H19" s="121">
        <f t="shared" si="3"/>
        <v>0.21419039648972027</v>
      </c>
      <c r="I19" s="120">
        <v>113999</v>
      </c>
      <c r="J19" s="121">
        <f t="shared" si="3"/>
        <v>6.1779334239889794E-2</v>
      </c>
      <c r="K19" s="120">
        <v>113916</v>
      </c>
      <c r="L19" s="121">
        <f t="shared" si="3"/>
        <v>-7.280765620750751E-4</v>
      </c>
      <c r="M19" s="120">
        <v>118687</v>
      </c>
      <c r="N19" s="121">
        <f t="shared" si="5"/>
        <v>4.1881737420555565E-2</v>
      </c>
    </row>
    <row r="20" spans="1:15" x14ac:dyDescent="0.25">
      <c r="A20" s="1" t="s">
        <v>95</v>
      </c>
      <c r="B20" s="119" t="s">
        <v>96</v>
      </c>
      <c r="C20" s="120">
        <v>17398</v>
      </c>
      <c r="D20" s="121">
        <v>-0.84088747439274214</v>
      </c>
      <c r="E20" s="120">
        <v>78855</v>
      </c>
      <c r="F20" s="121">
        <f t="shared" si="3"/>
        <v>3.5324175192550866</v>
      </c>
      <c r="G20" s="120">
        <v>108917</v>
      </c>
      <c r="H20" s="121">
        <f t="shared" si="3"/>
        <v>0.38123137404096119</v>
      </c>
      <c r="I20" s="120">
        <v>111619</v>
      </c>
      <c r="J20" s="121">
        <f t="shared" si="3"/>
        <v>2.4807881230661799E-2</v>
      </c>
      <c r="K20" s="120">
        <v>115450</v>
      </c>
      <c r="L20" s="121">
        <f t="shared" si="3"/>
        <v>3.4322113618649119E-2</v>
      </c>
      <c r="M20" s="120">
        <v>110730</v>
      </c>
      <c r="N20" s="121">
        <f t="shared" si="5"/>
        <v>-4.0883499350368169E-2</v>
      </c>
    </row>
    <row r="21" spans="1:15" ht="15.75" x14ac:dyDescent="0.25">
      <c r="A21" s="1" t="s">
        <v>0</v>
      </c>
      <c r="B21" s="122" t="s">
        <v>33</v>
      </c>
      <c r="C21" s="123">
        <v>375345</v>
      </c>
      <c r="D21" s="124">
        <v>-0.71114220212080703</v>
      </c>
      <c r="E21" s="123">
        <v>492258</v>
      </c>
      <c r="F21" s="124">
        <f t="shared" si="3"/>
        <v>0.31148143707788845</v>
      </c>
      <c r="G21" s="123">
        <v>1243535</v>
      </c>
      <c r="H21" s="124">
        <f t="shared" si="3"/>
        <v>1.5261854555944239</v>
      </c>
      <c r="I21" s="123">
        <v>1320376</v>
      </c>
      <c r="J21" s="124">
        <f t="shared" si="3"/>
        <v>6.1792390242333406E-2</v>
      </c>
      <c r="K21" s="123">
        <v>1387795</v>
      </c>
      <c r="L21" s="124">
        <f t="shared" si="3"/>
        <v>5.10604555066132E-2</v>
      </c>
      <c r="M21" s="123">
        <v>1421549</v>
      </c>
      <c r="N21" s="124">
        <v>2.4322036035581585E-2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20"/>
      <c r="N23" s="107"/>
    </row>
    <row r="24" spans="1:15" x14ac:dyDescent="0.25"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256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E29-1</f>
        <v>2020</v>
      </c>
      <c r="D29" s="308"/>
      <c r="E29" s="309">
        <f t="shared" ref="E29" si="6">G29-1</f>
        <v>2021</v>
      </c>
      <c r="F29" s="308"/>
      <c r="G29" s="309">
        <f t="shared" ref="G29" si="7">I29-1</f>
        <v>2022</v>
      </c>
      <c r="H29" s="308"/>
      <c r="I29" s="309">
        <f t="shared" ref="I29" si="8">K29-1</f>
        <v>2023</v>
      </c>
      <c r="J29" s="308"/>
      <c r="K29" s="309">
        <f>M29-1</f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60504</v>
      </c>
      <c r="D31" s="121">
        <v>8.4884346422807955E-2</v>
      </c>
      <c r="E31" s="120">
        <v>2072</v>
      </c>
      <c r="F31" s="121">
        <f t="shared" ref="F31:L43" si="9">IFERROR(E31/C31-1,"-")</f>
        <v>-0.96575433029221203</v>
      </c>
      <c r="G31" s="120">
        <v>40098</v>
      </c>
      <c r="H31" s="121">
        <f t="shared" si="9"/>
        <v>18.352316602316602</v>
      </c>
      <c r="I31" s="120">
        <v>63291</v>
      </c>
      <c r="J31" s="121">
        <f t="shared" si="9"/>
        <v>0.57840790064342351</v>
      </c>
      <c r="K31" s="120">
        <v>62043</v>
      </c>
      <c r="L31" s="121">
        <f t="shared" si="9"/>
        <v>-1.971844338057549E-2</v>
      </c>
      <c r="M31" s="120">
        <v>69478</v>
      </c>
      <c r="N31" s="121">
        <f t="shared" ref="N31:N42" si="10">IFERROR(M31/K31-1,"-")</f>
        <v>0.11983624260593451</v>
      </c>
    </row>
    <row r="32" spans="1:15" x14ac:dyDescent="0.25">
      <c r="B32" s="119" t="s">
        <v>76</v>
      </c>
      <c r="C32" s="120">
        <v>62555</v>
      </c>
      <c r="D32" s="121">
        <v>0.11697378758660104</v>
      </c>
      <c r="E32" s="120">
        <v>3046</v>
      </c>
      <c r="F32" s="121">
        <f t="shared" si="9"/>
        <v>-0.95130684997202464</v>
      </c>
      <c r="G32" s="120">
        <v>51286</v>
      </c>
      <c r="H32" s="121">
        <f t="shared" si="9"/>
        <v>15.837163493105713</v>
      </c>
      <c r="I32" s="120">
        <v>61780</v>
      </c>
      <c r="J32" s="121">
        <f t="shared" si="9"/>
        <v>0.20461724447217566</v>
      </c>
      <c r="K32" s="120">
        <v>67703</v>
      </c>
      <c r="L32" s="121">
        <f t="shared" si="9"/>
        <v>9.5872450631272255E-2</v>
      </c>
      <c r="M32" s="120">
        <v>72932</v>
      </c>
      <c r="N32" s="121">
        <f t="shared" si="10"/>
        <v>7.7234391385906154E-2</v>
      </c>
    </row>
    <row r="33" spans="2:15" x14ac:dyDescent="0.25">
      <c r="B33" s="119" t="s">
        <v>78</v>
      </c>
      <c r="C33" s="120">
        <v>24047</v>
      </c>
      <c r="D33" s="121">
        <v>-0.62609425777059069</v>
      </c>
      <c r="E33" s="120">
        <v>3905</v>
      </c>
      <c r="F33" s="121">
        <f t="shared" si="9"/>
        <v>-0.83760968104129407</v>
      </c>
      <c r="G33" s="120">
        <v>60604</v>
      </c>
      <c r="H33" s="121">
        <f t="shared" si="9"/>
        <v>14.519590268886043</v>
      </c>
      <c r="I33" s="120">
        <v>67669</v>
      </c>
      <c r="J33" s="121">
        <f t="shared" si="9"/>
        <v>0.11657646359976237</v>
      </c>
      <c r="K33" s="120">
        <v>75940</v>
      </c>
      <c r="L33" s="121">
        <f t="shared" si="9"/>
        <v>0.12222731235868722</v>
      </c>
      <c r="M33" s="120">
        <v>74634</v>
      </c>
      <c r="N33" s="121">
        <f t="shared" si="10"/>
        <v>-1.7197787727152969E-2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3295</v>
      </c>
      <c r="F34" s="121" t="str">
        <f t="shared" si="9"/>
        <v>-</v>
      </c>
      <c r="G34" s="120">
        <v>66573</v>
      </c>
      <c r="H34" s="121">
        <f t="shared" si="9"/>
        <v>19.204248861911989</v>
      </c>
      <c r="I34" s="120">
        <v>68688</v>
      </c>
      <c r="J34" s="121">
        <f t="shared" si="9"/>
        <v>3.1769636339056273E-2</v>
      </c>
      <c r="K34" s="120">
        <v>67726</v>
      </c>
      <c r="L34" s="121">
        <f t="shared" si="9"/>
        <v>-1.4005357558816711E-2</v>
      </c>
      <c r="M34" s="120">
        <v>66362</v>
      </c>
      <c r="N34" s="121">
        <f t="shared" si="10"/>
        <v>-2.0139975784779884E-2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4085</v>
      </c>
      <c r="F35" s="121" t="str">
        <f t="shared" si="9"/>
        <v>-</v>
      </c>
      <c r="G35" s="120">
        <v>59315</v>
      </c>
      <c r="H35" s="121">
        <f t="shared" si="9"/>
        <v>13.520195838433292</v>
      </c>
      <c r="I35" s="120">
        <v>62382</v>
      </c>
      <c r="J35" s="121">
        <f t="shared" si="9"/>
        <v>5.1706988114305075E-2</v>
      </c>
      <c r="K35" s="120">
        <v>68445</v>
      </c>
      <c r="L35" s="121">
        <f t="shared" si="9"/>
        <v>9.7191497547369332E-2</v>
      </c>
      <c r="M35" s="120">
        <v>71750</v>
      </c>
      <c r="N35" s="121">
        <f t="shared" si="10"/>
        <v>4.82869457228432E-2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7554</v>
      </c>
      <c r="F36" s="121" t="str">
        <f t="shared" si="9"/>
        <v>-</v>
      </c>
      <c r="G36" s="120">
        <v>62022</v>
      </c>
      <c r="H36" s="121">
        <f t="shared" si="9"/>
        <v>7.2104845115170768</v>
      </c>
      <c r="I36" s="120">
        <v>67287</v>
      </c>
      <c r="J36" s="121">
        <f t="shared" si="9"/>
        <v>8.4889232852858765E-2</v>
      </c>
      <c r="K36" s="120">
        <v>70894</v>
      </c>
      <c r="L36" s="121">
        <f t="shared" si="9"/>
        <v>5.3606194361466519E-2</v>
      </c>
      <c r="M36" s="120">
        <v>72569</v>
      </c>
      <c r="N36" s="121">
        <f t="shared" si="10"/>
        <v>2.3626823144412779E-2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18560</v>
      </c>
      <c r="F37" s="121" t="str">
        <f t="shared" si="9"/>
        <v>-</v>
      </c>
      <c r="G37" s="120">
        <v>71116</v>
      </c>
      <c r="H37" s="121">
        <f t="shared" si="9"/>
        <v>2.8316810344827585</v>
      </c>
      <c r="I37" s="120">
        <v>70708</v>
      </c>
      <c r="J37" s="121">
        <f t="shared" si="9"/>
        <v>-5.7371055739917631E-3</v>
      </c>
      <c r="K37" s="120">
        <v>76375</v>
      </c>
      <c r="L37" s="121">
        <f t="shared" si="9"/>
        <v>8.0146518074333928E-2</v>
      </c>
      <c r="M37" s="120">
        <v>77493</v>
      </c>
      <c r="N37" s="121">
        <f t="shared" si="10"/>
        <v>1.46382978723405E-2</v>
      </c>
    </row>
    <row r="38" spans="2:15" x14ac:dyDescent="0.25">
      <c r="B38" s="119" t="s">
        <v>88</v>
      </c>
      <c r="C38" s="120">
        <v>14181</v>
      </c>
      <c r="D38" s="121">
        <v>-0.7786294099281923</v>
      </c>
      <c r="E38" s="120">
        <v>28251</v>
      </c>
      <c r="F38" s="121">
        <f t="shared" si="9"/>
        <v>0.99217262534376993</v>
      </c>
      <c r="G38" s="120">
        <v>71571</v>
      </c>
      <c r="H38" s="121">
        <f t="shared" si="9"/>
        <v>1.5333970478921102</v>
      </c>
      <c r="I38" s="120">
        <v>69694</v>
      </c>
      <c r="J38" s="121">
        <f t="shared" si="9"/>
        <v>-2.6225705942350963E-2</v>
      </c>
      <c r="K38" s="120">
        <v>78502</v>
      </c>
      <c r="L38" s="121">
        <f t="shared" si="9"/>
        <v>0.12638103710505932</v>
      </c>
      <c r="M38" s="120">
        <v>77343</v>
      </c>
      <c r="N38" s="121">
        <f t="shared" si="10"/>
        <v>-1.4763955058469835E-2</v>
      </c>
    </row>
    <row r="39" spans="2:15" x14ac:dyDescent="0.25">
      <c r="B39" s="119" t="s">
        <v>90</v>
      </c>
      <c r="C39" s="120">
        <v>8785</v>
      </c>
      <c r="D39" s="121">
        <v>-0.84416298582654814</v>
      </c>
      <c r="E39" s="120">
        <v>33952</v>
      </c>
      <c r="F39" s="121">
        <f t="shared" si="9"/>
        <v>2.8647694934547525</v>
      </c>
      <c r="G39" s="120">
        <v>64404</v>
      </c>
      <c r="H39" s="121">
        <f t="shared" si="9"/>
        <v>0.89691328934967007</v>
      </c>
      <c r="I39" s="120">
        <v>67208</v>
      </c>
      <c r="J39" s="121">
        <f t="shared" si="9"/>
        <v>4.3537668467797053E-2</v>
      </c>
      <c r="K39" s="120">
        <v>71650</v>
      </c>
      <c r="L39" s="121">
        <f t="shared" si="9"/>
        <v>6.6093322223544915E-2</v>
      </c>
      <c r="M39" s="120">
        <v>71402</v>
      </c>
      <c r="N39" s="121">
        <f t="shared" si="10"/>
        <v>-3.4612700628052773E-3</v>
      </c>
    </row>
    <row r="40" spans="2:15" x14ac:dyDescent="0.25">
      <c r="B40" s="119" t="s">
        <v>92</v>
      </c>
      <c r="C40" s="120">
        <v>9727</v>
      </c>
      <c r="D40" s="121">
        <v>-0.85214404061592719</v>
      </c>
      <c r="E40" s="120">
        <v>54024</v>
      </c>
      <c r="F40" s="121">
        <f t="shared" si="9"/>
        <v>4.5540248792022204</v>
      </c>
      <c r="G40" s="120">
        <v>71237</v>
      </c>
      <c r="H40" s="121">
        <f t="shared" si="9"/>
        <v>0.3186176514141863</v>
      </c>
      <c r="I40" s="120">
        <v>73508</v>
      </c>
      <c r="J40" s="121">
        <f t="shared" si="9"/>
        <v>3.18795008212025E-2</v>
      </c>
      <c r="K40" s="120">
        <v>79884</v>
      </c>
      <c r="L40" s="121">
        <f t="shared" si="9"/>
        <v>8.6738858355553061E-2</v>
      </c>
      <c r="M40" s="120">
        <v>81692</v>
      </c>
      <c r="N40" s="121">
        <f t="shared" si="10"/>
        <v>2.2632817585499065E-2</v>
      </c>
    </row>
    <row r="41" spans="2:15" x14ac:dyDescent="0.25">
      <c r="B41" s="119" t="s">
        <v>94</v>
      </c>
      <c r="C41" s="120">
        <v>7481</v>
      </c>
      <c r="D41" s="121">
        <v>-0.88281825159380334</v>
      </c>
      <c r="E41" s="120">
        <v>52634</v>
      </c>
      <c r="F41" s="121">
        <f t="shared" si="9"/>
        <v>6.0356904157198237</v>
      </c>
      <c r="G41" s="120">
        <v>65777</v>
      </c>
      <c r="H41" s="121">
        <f t="shared" si="9"/>
        <v>0.24970551354637682</v>
      </c>
      <c r="I41" s="120">
        <v>71022</v>
      </c>
      <c r="J41" s="121">
        <f t="shared" si="9"/>
        <v>7.9739118536874543E-2</v>
      </c>
      <c r="K41" s="120">
        <v>70390</v>
      </c>
      <c r="L41" s="121">
        <f t="shared" si="9"/>
        <v>-8.898651122187462E-3</v>
      </c>
      <c r="M41" s="120">
        <v>74798</v>
      </c>
      <c r="N41" s="121">
        <f t="shared" si="10"/>
        <v>6.2622531609603627E-2</v>
      </c>
    </row>
    <row r="42" spans="2:15" x14ac:dyDescent="0.25">
      <c r="B42" s="119" t="s">
        <v>96</v>
      </c>
      <c r="C42" s="120">
        <v>8227</v>
      </c>
      <c r="D42" s="121">
        <v>-0.87079498696485225</v>
      </c>
      <c r="E42" s="120">
        <v>45371</v>
      </c>
      <c r="F42" s="121">
        <f t="shared" si="9"/>
        <v>4.5148899963534701</v>
      </c>
      <c r="G42" s="120">
        <v>68554</v>
      </c>
      <c r="H42" s="121">
        <f t="shared" si="9"/>
        <v>0.5109651539529656</v>
      </c>
      <c r="I42" s="120">
        <v>67674</v>
      </c>
      <c r="J42" s="121">
        <f t="shared" si="9"/>
        <v>-1.2836595968141906E-2</v>
      </c>
      <c r="K42" s="120">
        <v>71887</v>
      </c>
      <c r="L42" s="121">
        <f t="shared" si="9"/>
        <v>6.2254336968407431E-2</v>
      </c>
      <c r="M42" s="120">
        <v>66314</v>
      </c>
      <c r="N42" s="121">
        <f t="shared" si="10"/>
        <v>-7.7524448092144649E-2</v>
      </c>
    </row>
    <row r="43" spans="2:15" ht="15.75" x14ac:dyDescent="0.25">
      <c r="B43" s="122" t="s">
        <v>33</v>
      </c>
      <c r="C43" s="123">
        <v>206279</v>
      </c>
      <c r="D43" s="124">
        <v>-0.71742409194583523</v>
      </c>
      <c r="E43" s="123">
        <v>256749</v>
      </c>
      <c r="F43" s="124">
        <f t="shared" si="9"/>
        <v>0.24466862841103554</v>
      </c>
      <c r="G43" s="123">
        <v>752557</v>
      </c>
      <c r="H43" s="124">
        <f t="shared" si="9"/>
        <v>1.9311000237586127</v>
      </c>
      <c r="I43" s="123">
        <v>810911</v>
      </c>
      <c r="J43" s="124">
        <f t="shared" si="9"/>
        <v>7.7540970318527469E-2</v>
      </c>
      <c r="K43" s="123">
        <v>861439</v>
      </c>
      <c r="L43" s="124">
        <f t="shared" si="9"/>
        <v>6.231016720700544E-2</v>
      </c>
      <c r="M43" s="123">
        <v>876767</v>
      </c>
      <c r="N43" s="124">
        <v>1.7793482765465773E-2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K46" s="81"/>
    </row>
    <row r="48" spans="2:15" ht="48.75" customHeight="1" thickBot="1" x14ac:dyDescent="0.3">
      <c r="B48" s="283" t="s">
        <v>257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E51-1</f>
        <v>2020</v>
      </c>
      <c r="D51" s="308"/>
      <c r="E51" s="309">
        <f t="shared" ref="E51" si="11">G51-1</f>
        <v>2021</v>
      </c>
      <c r="F51" s="308"/>
      <c r="G51" s="309">
        <f t="shared" ref="G51" si="12">I51-1</f>
        <v>2022</v>
      </c>
      <c r="H51" s="308"/>
      <c r="I51" s="309">
        <f t="shared" ref="I51" si="13">K51-1</f>
        <v>2023</v>
      </c>
      <c r="J51" s="308"/>
      <c r="K51" s="309">
        <f>M51-1</f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44788</v>
      </c>
      <c r="D53" s="121">
        <v>8.141780954220601E-2</v>
      </c>
      <c r="E53" s="120">
        <v>1594</v>
      </c>
      <c r="F53" s="121">
        <f t="shared" ref="F53:L65" si="14">IFERROR(E53/C53-1,"-")</f>
        <v>-0.96441010985085296</v>
      </c>
      <c r="G53" s="120">
        <v>32265</v>
      </c>
      <c r="H53" s="121">
        <f t="shared" si="14"/>
        <v>19.241530740276033</v>
      </c>
      <c r="I53" s="120">
        <v>48326</v>
      </c>
      <c r="J53" s="121">
        <f t="shared" si="14"/>
        <v>0.49778397644506422</v>
      </c>
      <c r="K53" s="120">
        <v>49934</v>
      </c>
      <c r="L53" s="121">
        <f t="shared" si="14"/>
        <v>3.3274013988329187E-2</v>
      </c>
      <c r="M53" s="120">
        <v>51937</v>
      </c>
      <c r="N53" s="121">
        <f t="shared" ref="N53:N64" si="15">IFERROR(M53/K53-1,"-")</f>
        <v>4.0112949092802497E-2</v>
      </c>
    </row>
    <row r="54" spans="1:15" x14ac:dyDescent="0.25">
      <c r="A54" s="1">
        <v>2</v>
      </c>
      <c r="B54" s="119" t="s">
        <v>76</v>
      </c>
      <c r="C54" s="120">
        <v>45868</v>
      </c>
      <c r="D54" s="121">
        <v>0.14318470702589536</v>
      </c>
      <c r="E54" s="120">
        <v>2578</v>
      </c>
      <c r="F54" s="121">
        <f t="shared" si="14"/>
        <v>-0.94379523851050839</v>
      </c>
      <c r="G54" s="120">
        <v>39485</v>
      </c>
      <c r="H54" s="121">
        <f t="shared" si="14"/>
        <v>14.316136539953453</v>
      </c>
      <c r="I54" s="120">
        <v>45827</v>
      </c>
      <c r="J54" s="121">
        <f t="shared" si="14"/>
        <v>0.16061795618589336</v>
      </c>
      <c r="K54" s="120">
        <v>50552</v>
      </c>
      <c r="L54" s="121">
        <f t="shared" si="14"/>
        <v>0.1031051563488774</v>
      </c>
      <c r="M54" s="120">
        <v>55634</v>
      </c>
      <c r="N54" s="121">
        <f t="shared" si="15"/>
        <v>0.10053014717518605</v>
      </c>
    </row>
    <row r="55" spans="1:15" x14ac:dyDescent="0.25">
      <c r="A55" s="1">
        <v>3</v>
      </c>
      <c r="B55" s="119" t="s">
        <v>78</v>
      </c>
      <c r="C55" s="120">
        <v>16834</v>
      </c>
      <c r="D55" s="121">
        <v>-0.63772918998020145</v>
      </c>
      <c r="E55" s="120">
        <v>3374</v>
      </c>
      <c r="F55" s="121">
        <f t="shared" si="14"/>
        <v>-0.79957229416656772</v>
      </c>
      <c r="G55" s="120">
        <v>44785</v>
      </c>
      <c r="H55" s="121">
        <f t="shared" si="14"/>
        <v>12.273562537048015</v>
      </c>
      <c r="I55" s="120">
        <v>48639</v>
      </c>
      <c r="J55" s="121">
        <f t="shared" si="14"/>
        <v>8.6055598972870406E-2</v>
      </c>
      <c r="K55" s="120">
        <v>55860</v>
      </c>
      <c r="L55" s="121">
        <f t="shared" si="14"/>
        <v>0.14846111145377172</v>
      </c>
      <c r="M55" s="120">
        <v>58113</v>
      </c>
      <c r="N55" s="121">
        <f t="shared" si="15"/>
        <v>4.0332975295381379E-2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2613</v>
      </c>
      <c r="F56" s="121" t="str">
        <f t="shared" si="14"/>
        <v>-</v>
      </c>
      <c r="G56" s="120">
        <v>48283</v>
      </c>
      <c r="H56" s="121">
        <f t="shared" si="14"/>
        <v>17.477994642173748</v>
      </c>
      <c r="I56" s="120">
        <v>50475</v>
      </c>
      <c r="J56" s="121">
        <f t="shared" si="14"/>
        <v>4.5399001719031551E-2</v>
      </c>
      <c r="K56" s="120">
        <v>50481</v>
      </c>
      <c r="L56" s="121">
        <f t="shared" si="14"/>
        <v>1.188707280832535E-4</v>
      </c>
      <c r="M56" s="120">
        <v>51490</v>
      </c>
      <c r="N56" s="121">
        <f t="shared" si="15"/>
        <v>1.9987718151383671E-2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3475</v>
      </c>
      <c r="F57" s="121" t="str">
        <f t="shared" si="14"/>
        <v>-</v>
      </c>
      <c r="G57" s="120">
        <v>46145</v>
      </c>
      <c r="H57" s="121">
        <f t="shared" si="14"/>
        <v>12.279136690647482</v>
      </c>
      <c r="I57" s="120">
        <v>48589</v>
      </c>
      <c r="J57" s="121">
        <f t="shared" si="14"/>
        <v>5.2963484667894578E-2</v>
      </c>
      <c r="K57" s="120">
        <v>52392</v>
      </c>
      <c r="L57" s="121">
        <f t="shared" si="14"/>
        <v>7.8268743954392983E-2</v>
      </c>
      <c r="M57" s="120">
        <v>57980</v>
      </c>
      <c r="N57" s="121">
        <f t="shared" si="15"/>
        <v>0.10665750496258974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5683</v>
      </c>
      <c r="F58" s="121" t="str">
        <f t="shared" si="14"/>
        <v>-</v>
      </c>
      <c r="G58" s="120">
        <v>46624</v>
      </c>
      <c r="H58" s="121">
        <f t="shared" si="14"/>
        <v>7.2041175435509412</v>
      </c>
      <c r="I58" s="120">
        <v>50600</v>
      </c>
      <c r="J58" s="121">
        <f t="shared" si="14"/>
        <v>8.5277968428277173E-2</v>
      </c>
      <c r="K58" s="120">
        <v>52676</v>
      </c>
      <c r="L58" s="121">
        <f t="shared" si="14"/>
        <v>4.1027667984189664E-2</v>
      </c>
      <c r="M58" s="120">
        <v>57563</v>
      </c>
      <c r="N58" s="121">
        <f t="shared" si="15"/>
        <v>9.2774698154757473E-2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15934</v>
      </c>
      <c r="F59" s="121" t="str">
        <f t="shared" si="14"/>
        <v>-</v>
      </c>
      <c r="G59" s="120">
        <v>54466</v>
      </c>
      <c r="H59" s="121">
        <f t="shared" si="14"/>
        <v>2.4182251788628091</v>
      </c>
      <c r="I59" s="120">
        <v>54308</v>
      </c>
      <c r="J59" s="121">
        <f t="shared" si="14"/>
        <v>-2.9008922997832975E-3</v>
      </c>
      <c r="K59" s="120">
        <v>57122</v>
      </c>
      <c r="L59" s="121">
        <f t="shared" si="14"/>
        <v>5.1815570450025827E-2</v>
      </c>
      <c r="M59" s="120">
        <v>61726</v>
      </c>
      <c r="N59" s="121">
        <f t="shared" si="15"/>
        <v>8.0599418787857591E-2</v>
      </c>
    </row>
    <row r="60" spans="1:15" x14ac:dyDescent="0.25">
      <c r="A60" s="1">
        <v>8</v>
      </c>
      <c r="B60" s="119" t="s">
        <v>88</v>
      </c>
      <c r="C60" s="120">
        <v>10075</v>
      </c>
      <c r="D60" s="121">
        <v>-0.79925880172946262</v>
      </c>
      <c r="E60" s="120">
        <v>22858</v>
      </c>
      <c r="F60" s="121">
        <f t="shared" si="14"/>
        <v>1.2687841191066997</v>
      </c>
      <c r="G60" s="120">
        <v>54395</v>
      </c>
      <c r="H60" s="121">
        <f t="shared" si="14"/>
        <v>1.379692011549567</v>
      </c>
      <c r="I60" s="120">
        <v>55335</v>
      </c>
      <c r="J60" s="121">
        <f t="shared" si="14"/>
        <v>1.7281000091920129E-2</v>
      </c>
      <c r="K60" s="120">
        <v>59369</v>
      </c>
      <c r="L60" s="121">
        <f t="shared" si="14"/>
        <v>7.2901418631968973E-2</v>
      </c>
      <c r="M60" s="120">
        <v>62832</v>
      </c>
      <c r="N60" s="121">
        <f t="shared" si="15"/>
        <v>5.8330104936920035E-2</v>
      </c>
    </row>
    <row r="61" spans="1:15" x14ac:dyDescent="0.25">
      <c r="A61" s="1">
        <v>9</v>
      </c>
      <c r="B61" s="119" t="s">
        <v>90</v>
      </c>
      <c r="C61" s="120">
        <v>6466</v>
      </c>
      <c r="D61" s="121">
        <v>-0.85327554516780502</v>
      </c>
      <c r="E61" s="120">
        <v>28209</v>
      </c>
      <c r="F61" s="121">
        <f t="shared" si="14"/>
        <v>3.3626662542530159</v>
      </c>
      <c r="G61" s="120">
        <v>49072</v>
      </c>
      <c r="H61" s="121">
        <f t="shared" si="14"/>
        <v>0.73958665674075652</v>
      </c>
      <c r="I61" s="120">
        <v>51415</v>
      </c>
      <c r="J61" s="121">
        <f t="shared" si="14"/>
        <v>4.7746168894685415E-2</v>
      </c>
      <c r="K61" s="120">
        <v>54012</v>
      </c>
      <c r="L61" s="121">
        <f t="shared" si="14"/>
        <v>5.0510551395507086E-2</v>
      </c>
      <c r="M61" s="120">
        <v>56019</v>
      </c>
      <c r="N61" s="121">
        <f t="shared" si="15"/>
        <v>3.7158409242390666E-2</v>
      </c>
    </row>
    <row r="62" spans="1:15" x14ac:dyDescent="0.25">
      <c r="A62" s="1">
        <v>10</v>
      </c>
      <c r="B62" s="119" t="s">
        <v>92</v>
      </c>
      <c r="C62" s="120">
        <v>8213</v>
      </c>
      <c r="D62" s="121">
        <v>-0.83843490577172752</v>
      </c>
      <c r="E62" s="120">
        <v>43604</v>
      </c>
      <c r="F62" s="121">
        <f t="shared" si="14"/>
        <v>4.3091440399366858</v>
      </c>
      <c r="G62" s="120">
        <v>54881</v>
      </c>
      <c r="H62" s="121">
        <f t="shared" si="14"/>
        <v>0.25862306210439412</v>
      </c>
      <c r="I62" s="120">
        <v>55616</v>
      </c>
      <c r="J62" s="121">
        <f t="shared" si="14"/>
        <v>1.3392613108361706E-2</v>
      </c>
      <c r="K62" s="120">
        <v>61026</v>
      </c>
      <c r="L62" s="121">
        <f t="shared" si="14"/>
        <v>9.7274165707710081E-2</v>
      </c>
      <c r="M62" s="120">
        <v>65285</v>
      </c>
      <c r="N62" s="121">
        <f t="shared" si="15"/>
        <v>6.9789925605479697E-2</v>
      </c>
    </row>
    <row r="63" spans="1:15" x14ac:dyDescent="0.25">
      <c r="A63" s="1">
        <v>11</v>
      </c>
      <c r="B63" s="119" t="s">
        <v>94</v>
      </c>
      <c r="C63" s="120">
        <v>5716</v>
      </c>
      <c r="D63" s="121">
        <v>-0.87879044912846171</v>
      </c>
      <c r="E63" s="120">
        <v>40382</v>
      </c>
      <c r="F63" s="121">
        <f t="shared" si="14"/>
        <v>6.0647305808257519</v>
      </c>
      <c r="G63" s="120">
        <v>50351</v>
      </c>
      <c r="H63" s="121">
        <f t="shared" si="14"/>
        <v>0.24686741617552377</v>
      </c>
      <c r="I63" s="120">
        <v>49722</v>
      </c>
      <c r="J63" s="121">
        <f t="shared" si="14"/>
        <v>-1.2492304025739309E-2</v>
      </c>
      <c r="K63" s="120">
        <v>54172</v>
      </c>
      <c r="L63" s="121">
        <f t="shared" si="14"/>
        <v>8.9497606693214271E-2</v>
      </c>
      <c r="M63" s="120">
        <v>57471</v>
      </c>
      <c r="N63" s="121">
        <f t="shared" si="15"/>
        <v>6.0898619212877536E-2</v>
      </c>
    </row>
    <row r="64" spans="1:15" x14ac:dyDescent="0.25">
      <c r="A64" s="1">
        <v>12</v>
      </c>
      <c r="B64" s="119" t="s">
        <v>96</v>
      </c>
      <c r="C64" s="120">
        <v>6600</v>
      </c>
      <c r="D64" s="121">
        <v>-0.85933204032481514</v>
      </c>
      <c r="E64" s="120">
        <v>35773</v>
      </c>
      <c r="F64" s="121">
        <f t="shared" si="14"/>
        <v>4.4201515151515149</v>
      </c>
      <c r="G64" s="120">
        <v>52615</v>
      </c>
      <c r="H64" s="121">
        <f t="shared" si="14"/>
        <v>0.47080200150951845</v>
      </c>
      <c r="I64" s="120">
        <v>51027</v>
      </c>
      <c r="J64" s="121">
        <f t="shared" si="14"/>
        <v>-3.0181507174760092E-2</v>
      </c>
      <c r="K64" s="120">
        <v>53638</v>
      </c>
      <c r="L64" s="121">
        <f t="shared" si="14"/>
        <v>5.1168988966625584E-2</v>
      </c>
      <c r="M64" s="120">
        <v>50741</v>
      </c>
      <c r="N64" s="121">
        <f t="shared" si="15"/>
        <v>-5.401021663745853E-2</v>
      </c>
    </row>
    <row r="65" spans="1:15" ht="15.75" x14ac:dyDescent="0.25">
      <c r="B65" s="122" t="s">
        <v>33</v>
      </c>
      <c r="C65" s="123">
        <v>151994</v>
      </c>
      <c r="D65" s="124">
        <v>-0.72479562552621335</v>
      </c>
      <c r="E65" s="123">
        <v>206077</v>
      </c>
      <c r="F65" s="124">
        <f t="shared" si="14"/>
        <v>0.35582325618116495</v>
      </c>
      <c r="G65" s="123">
        <v>573367</v>
      </c>
      <c r="H65" s="124">
        <f t="shared" si="14"/>
        <v>1.7822949674150923</v>
      </c>
      <c r="I65" s="123">
        <v>609879</v>
      </c>
      <c r="J65" s="124">
        <f t="shared" si="14"/>
        <v>6.3679981582476897E-2</v>
      </c>
      <c r="K65" s="123">
        <v>651234</v>
      </c>
      <c r="L65" s="124">
        <f t="shared" si="14"/>
        <v>6.7808532512186881E-2</v>
      </c>
      <c r="M65" s="123">
        <v>686791</v>
      </c>
      <c r="N65" s="124">
        <v>5.4599422020348953E-2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258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E73-1</f>
        <v>2020</v>
      </c>
      <c r="D73" s="308"/>
      <c r="E73" s="309">
        <f t="shared" ref="E73" si="16">G73-1</f>
        <v>2021</v>
      </c>
      <c r="F73" s="308"/>
      <c r="G73" s="309">
        <f t="shared" ref="G73" si="17">I73-1</f>
        <v>2022</v>
      </c>
      <c r="H73" s="308"/>
      <c r="I73" s="309">
        <f t="shared" ref="I73" si="18">K73-1</f>
        <v>2023</v>
      </c>
      <c r="J73" s="308"/>
      <c r="K73" s="309">
        <f>M73-1</f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15716</v>
      </c>
      <c r="D75" s="121">
        <v>9.4886442803399751E-2</v>
      </c>
      <c r="E75" s="120">
        <v>478</v>
      </c>
      <c r="F75" s="121">
        <f t="shared" ref="F75:L87" si="19">IFERROR(E75/C75-1,"-")</f>
        <v>-0.96958513616696362</v>
      </c>
      <c r="G75" s="120">
        <v>7833</v>
      </c>
      <c r="H75" s="121">
        <f t="shared" si="19"/>
        <v>15.38702928870293</v>
      </c>
      <c r="I75" s="120">
        <v>14965</v>
      </c>
      <c r="J75" s="121">
        <f t="shared" si="19"/>
        <v>0.91050683007787558</v>
      </c>
      <c r="K75" s="120">
        <v>12109</v>
      </c>
      <c r="L75" s="121">
        <f t="shared" si="19"/>
        <v>-0.19084530571333114</v>
      </c>
      <c r="M75" s="120">
        <v>17541</v>
      </c>
      <c r="N75" s="121">
        <f t="shared" ref="N75:N86" si="20">IFERROR(M75/K75-1,"-")</f>
        <v>0.44859195639606897</v>
      </c>
    </row>
    <row r="76" spans="1:15" x14ac:dyDescent="0.25">
      <c r="A76" s="1">
        <v>2</v>
      </c>
      <c r="B76" s="119" t="s">
        <v>76</v>
      </c>
      <c r="C76" s="120">
        <v>16687</v>
      </c>
      <c r="D76" s="121">
        <v>5.0752471506832153E-2</v>
      </c>
      <c r="E76" s="120">
        <v>468</v>
      </c>
      <c r="F76" s="121">
        <f t="shared" si="19"/>
        <v>-0.97195421585665487</v>
      </c>
      <c r="G76" s="120">
        <v>11801</v>
      </c>
      <c r="H76" s="121">
        <f t="shared" si="19"/>
        <v>24.215811965811966</v>
      </c>
      <c r="I76" s="120">
        <v>15953</v>
      </c>
      <c r="J76" s="121">
        <f t="shared" si="19"/>
        <v>0.35183459028895858</v>
      </c>
      <c r="K76" s="120">
        <v>17151</v>
      </c>
      <c r="L76" s="121">
        <f t="shared" si="19"/>
        <v>7.5095593305334329E-2</v>
      </c>
      <c r="M76" s="120">
        <v>17298</v>
      </c>
      <c r="N76" s="121">
        <f t="shared" si="20"/>
        <v>8.5709288088158253E-3</v>
      </c>
    </row>
    <row r="77" spans="1:15" x14ac:dyDescent="0.25">
      <c r="A77" s="1">
        <v>3</v>
      </c>
      <c r="B77" s="119" t="s">
        <v>78</v>
      </c>
      <c r="C77" s="120">
        <v>7213</v>
      </c>
      <c r="D77" s="121">
        <v>-0.59579714205659851</v>
      </c>
      <c r="E77" s="120">
        <v>531</v>
      </c>
      <c r="F77" s="121">
        <f t="shared" si="19"/>
        <v>-0.92638291972826836</v>
      </c>
      <c r="G77" s="120">
        <v>15819</v>
      </c>
      <c r="H77" s="121">
        <f t="shared" si="19"/>
        <v>28.790960451977401</v>
      </c>
      <c r="I77" s="120">
        <v>19030</v>
      </c>
      <c r="J77" s="121">
        <f t="shared" si="19"/>
        <v>0.20298375371388833</v>
      </c>
      <c r="K77" s="120">
        <v>20080</v>
      </c>
      <c r="L77" s="121">
        <f t="shared" si="19"/>
        <v>5.5176037834997471E-2</v>
      </c>
      <c r="M77" s="120">
        <v>16521</v>
      </c>
      <c r="N77" s="121">
        <f t="shared" si="20"/>
        <v>-0.17724103585657369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682</v>
      </c>
      <c r="F78" s="121" t="str">
        <f t="shared" si="19"/>
        <v>-</v>
      </c>
      <c r="G78" s="120">
        <v>18290</v>
      </c>
      <c r="H78" s="121">
        <f t="shared" si="19"/>
        <v>25.818181818181817</v>
      </c>
      <c r="I78" s="120">
        <v>18213</v>
      </c>
      <c r="J78" s="121">
        <f t="shared" si="19"/>
        <v>-4.2099507927829682E-3</v>
      </c>
      <c r="K78" s="120">
        <v>17245</v>
      </c>
      <c r="L78" s="121">
        <f t="shared" si="19"/>
        <v>-5.3148849722725489E-2</v>
      </c>
      <c r="M78" s="120">
        <v>14872</v>
      </c>
      <c r="N78" s="121">
        <f t="shared" si="20"/>
        <v>-0.13760510292838501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610</v>
      </c>
      <c r="F79" s="121" t="str">
        <f t="shared" si="19"/>
        <v>-</v>
      </c>
      <c r="G79" s="120">
        <v>13170</v>
      </c>
      <c r="H79" s="121">
        <f t="shared" si="19"/>
        <v>20.590163934426229</v>
      </c>
      <c r="I79" s="120">
        <v>13793</v>
      </c>
      <c r="J79" s="121">
        <f t="shared" si="19"/>
        <v>4.7304479878511829E-2</v>
      </c>
      <c r="K79" s="120">
        <v>16053</v>
      </c>
      <c r="L79" s="121">
        <f t="shared" si="19"/>
        <v>0.16385122888421666</v>
      </c>
      <c r="M79" s="120">
        <v>13770</v>
      </c>
      <c r="N79" s="121">
        <f t="shared" si="20"/>
        <v>-0.14221640814800973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1871</v>
      </c>
      <c r="F80" s="121" t="str">
        <f t="shared" si="19"/>
        <v>-</v>
      </c>
      <c r="G80" s="120">
        <v>15398</v>
      </c>
      <c r="H80" s="121">
        <f t="shared" si="19"/>
        <v>7.2298236237306259</v>
      </c>
      <c r="I80" s="120">
        <v>16687</v>
      </c>
      <c r="J80" s="121">
        <f t="shared" si="19"/>
        <v>8.3712170411741837E-2</v>
      </c>
      <c r="K80" s="120">
        <v>18218</v>
      </c>
      <c r="L80" s="121">
        <f t="shared" si="19"/>
        <v>9.1748067357823482E-2</v>
      </c>
      <c r="M80" s="120">
        <v>15006</v>
      </c>
      <c r="N80" s="121">
        <f t="shared" si="20"/>
        <v>-0.17630914480184434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2626</v>
      </c>
      <c r="F81" s="121" t="str">
        <f t="shared" si="19"/>
        <v>-</v>
      </c>
      <c r="G81" s="120">
        <v>16650</v>
      </c>
      <c r="H81" s="121">
        <f t="shared" si="19"/>
        <v>5.3404417364813401</v>
      </c>
      <c r="I81" s="120">
        <v>16400</v>
      </c>
      <c r="J81" s="121">
        <f t="shared" si="19"/>
        <v>-1.501501501501501E-2</v>
      </c>
      <c r="K81" s="120">
        <v>19253</v>
      </c>
      <c r="L81" s="121">
        <f t="shared" si="19"/>
        <v>0.17396341463414644</v>
      </c>
      <c r="M81" s="120">
        <v>15767</v>
      </c>
      <c r="N81" s="121">
        <f t="shared" si="20"/>
        <v>-0.181062691528593</v>
      </c>
    </row>
    <row r="82" spans="1:15" x14ac:dyDescent="0.25">
      <c r="A82" s="1">
        <v>8</v>
      </c>
      <c r="B82" s="119" t="s">
        <v>88</v>
      </c>
      <c r="C82" s="120">
        <v>4106</v>
      </c>
      <c r="D82" s="121">
        <v>-0.70398673491456998</v>
      </c>
      <c r="E82" s="120">
        <v>5393</v>
      </c>
      <c r="F82" s="121">
        <f t="shared" si="19"/>
        <v>0.31344374086702387</v>
      </c>
      <c r="G82" s="120">
        <v>17176</v>
      </c>
      <c r="H82" s="121">
        <f t="shared" si="19"/>
        <v>2.184869274986093</v>
      </c>
      <c r="I82" s="120">
        <v>14359</v>
      </c>
      <c r="J82" s="121">
        <f t="shared" si="19"/>
        <v>-0.16400791802515136</v>
      </c>
      <c r="K82" s="120">
        <v>19133</v>
      </c>
      <c r="L82" s="121">
        <f t="shared" si="19"/>
        <v>0.33247440629570302</v>
      </c>
      <c r="M82" s="120">
        <v>14511</v>
      </c>
      <c r="N82" s="121">
        <f t="shared" si="20"/>
        <v>-0.24157215282496214</v>
      </c>
    </row>
    <row r="83" spans="1:15" x14ac:dyDescent="0.25">
      <c r="A83" s="1">
        <v>9</v>
      </c>
      <c r="B83" s="119" t="s">
        <v>90</v>
      </c>
      <c r="C83" s="120">
        <v>2319</v>
      </c>
      <c r="D83" s="121">
        <v>-0.8115247074122236</v>
      </c>
      <c r="E83" s="120">
        <v>5743</v>
      </c>
      <c r="F83" s="121">
        <f t="shared" si="19"/>
        <v>1.4764984907287624</v>
      </c>
      <c r="G83" s="120">
        <v>15332</v>
      </c>
      <c r="H83" s="121">
        <f t="shared" si="19"/>
        <v>1.6696848337106043</v>
      </c>
      <c r="I83" s="120">
        <v>15793</v>
      </c>
      <c r="J83" s="121">
        <f t="shared" si="19"/>
        <v>3.0067831985389981E-2</v>
      </c>
      <c r="K83" s="120">
        <v>17638</v>
      </c>
      <c r="L83" s="121">
        <f t="shared" si="19"/>
        <v>0.116823909326917</v>
      </c>
      <c r="M83" s="120">
        <v>15383</v>
      </c>
      <c r="N83" s="121">
        <f t="shared" si="20"/>
        <v>-0.12784896246739996</v>
      </c>
    </row>
    <row r="84" spans="1:15" x14ac:dyDescent="0.25">
      <c r="A84" s="1">
        <v>10</v>
      </c>
      <c r="B84" s="119" t="s">
        <v>92</v>
      </c>
      <c r="C84" s="120">
        <v>1514</v>
      </c>
      <c r="D84" s="121">
        <v>-0.89874941483314386</v>
      </c>
      <c r="E84" s="120">
        <v>10420</v>
      </c>
      <c r="F84" s="121">
        <f t="shared" si="19"/>
        <v>5.8824306472919421</v>
      </c>
      <c r="G84" s="120">
        <v>16356</v>
      </c>
      <c r="H84" s="121">
        <f t="shared" si="19"/>
        <v>0.56967370441458742</v>
      </c>
      <c r="I84" s="120">
        <v>17892</v>
      </c>
      <c r="J84" s="121">
        <f t="shared" si="19"/>
        <v>9.3910491562729348E-2</v>
      </c>
      <c r="K84" s="120">
        <v>18858</v>
      </c>
      <c r="L84" s="121">
        <f t="shared" si="19"/>
        <v>5.39906103286385E-2</v>
      </c>
      <c r="M84" s="120">
        <v>16407</v>
      </c>
      <c r="N84" s="121">
        <f t="shared" si="20"/>
        <v>-0.12997136493795736</v>
      </c>
    </row>
    <row r="85" spans="1:15" x14ac:dyDescent="0.25">
      <c r="A85" s="1">
        <v>11</v>
      </c>
      <c r="B85" s="119" t="s">
        <v>94</v>
      </c>
      <c r="C85" s="120">
        <v>1765</v>
      </c>
      <c r="D85" s="121">
        <v>-0.89420368039321463</v>
      </c>
      <c r="E85" s="120">
        <v>12252</v>
      </c>
      <c r="F85" s="121">
        <f t="shared" si="19"/>
        <v>5.9416430594900849</v>
      </c>
      <c r="G85" s="120">
        <v>15426</v>
      </c>
      <c r="H85" s="121">
        <f t="shared" si="19"/>
        <v>0.25905974534769838</v>
      </c>
      <c r="I85" s="120">
        <v>21300</v>
      </c>
      <c r="J85" s="121">
        <f t="shared" si="19"/>
        <v>0.38078568650330613</v>
      </c>
      <c r="K85" s="120">
        <v>16218</v>
      </c>
      <c r="L85" s="121">
        <f t="shared" si="19"/>
        <v>-0.23859154929577464</v>
      </c>
      <c r="M85" s="120">
        <v>17327</v>
      </c>
      <c r="N85" s="121">
        <f t="shared" si="20"/>
        <v>6.8380811444074485E-2</v>
      </c>
    </row>
    <row r="86" spans="1:15" x14ac:dyDescent="0.25">
      <c r="A86" s="1">
        <v>12</v>
      </c>
      <c r="B86" s="119" t="s">
        <v>96</v>
      </c>
      <c r="C86" s="120">
        <v>1627</v>
      </c>
      <c r="D86" s="121">
        <v>-0.90289465831095195</v>
      </c>
      <c r="E86" s="120">
        <v>9598</v>
      </c>
      <c r="F86" s="121">
        <f t="shared" si="19"/>
        <v>4.8992009834050396</v>
      </c>
      <c r="G86" s="120">
        <v>15939</v>
      </c>
      <c r="H86" s="121">
        <f t="shared" si="19"/>
        <v>0.66065847051469051</v>
      </c>
      <c r="I86" s="120">
        <v>16647</v>
      </c>
      <c r="J86" s="121">
        <f t="shared" si="19"/>
        <v>4.4419348767174904E-2</v>
      </c>
      <c r="K86" s="120">
        <v>18249</v>
      </c>
      <c r="L86" s="121">
        <f t="shared" si="19"/>
        <v>9.6233555595602871E-2</v>
      </c>
      <c r="M86" s="120">
        <v>15573</v>
      </c>
      <c r="N86" s="121">
        <f t="shared" si="20"/>
        <v>-0.14663817195462769</v>
      </c>
    </row>
    <row r="87" spans="1:15" ht="15.75" x14ac:dyDescent="0.25">
      <c r="B87" s="122" t="s">
        <v>33</v>
      </c>
      <c r="C87" s="123">
        <v>54285</v>
      </c>
      <c r="D87" s="124">
        <v>-0.69451322453573439</v>
      </c>
      <c r="E87" s="123">
        <v>50672</v>
      </c>
      <c r="F87" s="124">
        <f t="shared" si="19"/>
        <v>-6.6556138896564421E-2</v>
      </c>
      <c r="G87" s="123">
        <v>179190</v>
      </c>
      <c r="H87" s="124">
        <f t="shared" si="19"/>
        <v>2.536272497631828</v>
      </c>
      <c r="I87" s="123">
        <v>201032</v>
      </c>
      <c r="J87" s="124">
        <f t="shared" si="19"/>
        <v>0.12189296277694073</v>
      </c>
      <c r="K87" s="123">
        <v>210205</v>
      </c>
      <c r="L87" s="124">
        <f t="shared" si="19"/>
        <v>4.5629551514186906E-2</v>
      </c>
      <c r="M87" s="123">
        <v>189976</v>
      </c>
      <c r="N87" s="124">
        <v>-9.6234628101139363E-2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259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E95-1</f>
        <v>2020</v>
      </c>
      <c r="D95" s="308"/>
      <c r="E95" s="309">
        <f t="shared" ref="E95" si="21">G95-1</f>
        <v>2021</v>
      </c>
      <c r="F95" s="308"/>
      <c r="G95" s="309">
        <f t="shared" ref="G95" si="22">I95-1</f>
        <v>2022</v>
      </c>
      <c r="H95" s="308"/>
      <c r="I95" s="309">
        <f t="shared" ref="I95" si="23">K95-1</f>
        <v>2023</v>
      </c>
      <c r="J95" s="308"/>
      <c r="K95" s="309">
        <f>M95-1</f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>
        <v>42263</v>
      </c>
      <c r="D97" s="121">
        <v>-8.4007022258826614E-2</v>
      </c>
      <c r="E97" s="120">
        <v>5938</v>
      </c>
      <c r="F97" s="121">
        <f t="shared" ref="F97:L109" si="24">IFERROR(E97/C97-1,"-")</f>
        <v>-0.85949885242410617</v>
      </c>
      <c r="G97" s="120">
        <v>32894</v>
      </c>
      <c r="H97" s="121">
        <f t="shared" si="24"/>
        <v>4.539575614685079</v>
      </c>
      <c r="I97" s="120">
        <v>38836</v>
      </c>
      <c r="J97" s="121">
        <f t="shared" si="24"/>
        <v>0.18064084635495825</v>
      </c>
      <c r="K97" s="120">
        <v>40090</v>
      </c>
      <c r="L97" s="121">
        <f t="shared" si="24"/>
        <v>3.2289628180039109E-2</v>
      </c>
      <c r="M97" s="120">
        <v>39280</v>
      </c>
      <c r="N97" s="121">
        <f t="shared" ref="N97:N108" si="25">IFERROR(M97/K97-1,"-")</f>
        <v>-2.0204539785482645E-2</v>
      </c>
    </row>
    <row r="98" spans="2:14" x14ac:dyDescent="0.25">
      <c r="B98" s="119" t="s">
        <v>76</v>
      </c>
      <c r="C98" s="120">
        <v>42755</v>
      </c>
      <c r="D98" s="121">
        <v>-2.8229197445280407E-2</v>
      </c>
      <c r="E98" s="120">
        <v>7085</v>
      </c>
      <c r="F98" s="121">
        <f t="shared" si="24"/>
        <v>-0.83428838732312016</v>
      </c>
      <c r="G98" s="120">
        <v>36818</v>
      </c>
      <c r="H98" s="121">
        <f t="shared" si="24"/>
        <v>4.1966125617501762</v>
      </c>
      <c r="I98" s="120">
        <v>40393</v>
      </c>
      <c r="J98" s="121">
        <f t="shared" si="24"/>
        <v>9.7099244934542916E-2</v>
      </c>
      <c r="K98" s="120">
        <v>44543</v>
      </c>
      <c r="L98" s="121">
        <f t="shared" si="24"/>
        <v>0.10274057386180768</v>
      </c>
      <c r="M98" s="120">
        <v>42087</v>
      </c>
      <c r="N98" s="121">
        <f t="shared" si="25"/>
        <v>-5.5137732079114543E-2</v>
      </c>
    </row>
    <row r="99" spans="2:14" x14ac:dyDescent="0.25">
      <c r="B99" s="119" t="s">
        <v>78</v>
      </c>
      <c r="C99" s="120">
        <v>17153</v>
      </c>
      <c r="D99" s="121">
        <v>-0.68782076948276494</v>
      </c>
      <c r="E99" s="120">
        <v>9002</v>
      </c>
      <c r="F99" s="121">
        <f t="shared" si="24"/>
        <v>-0.47519384364251149</v>
      </c>
      <c r="G99" s="120">
        <v>44056</v>
      </c>
      <c r="H99" s="121">
        <f t="shared" si="24"/>
        <v>3.8940235503221503</v>
      </c>
      <c r="I99" s="120">
        <v>46614</v>
      </c>
      <c r="J99" s="121">
        <f t="shared" si="24"/>
        <v>5.8062465952424258E-2</v>
      </c>
      <c r="K99" s="120">
        <v>46997</v>
      </c>
      <c r="L99" s="121">
        <f t="shared" si="24"/>
        <v>8.2164156691122425E-3</v>
      </c>
      <c r="M99" s="120">
        <v>48564</v>
      </c>
      <c r="N99" s="121">
        <f t="shared" si="25"/>
        <v>3.3342553780028483E-2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10441</v>
      </c>
      <c r="F100" s="121" t="str">
        <f t="shared" si="24"/>
        <v>-</v>
      </c>
      <c r="G100" s="120">
        <v>44266</v>
      </c>
      <c r="H100" s="121">
        <f t="shared" si="24"/>
        <v>3.239632219136098</v>
      </c>
      <c r="I100" s="120">
        <v>44213</v>
      </c>
      <c r="J100" s="121">
        <f t="shared" si="24"/>
        <v>-1.1973071883613073E-3</v>
      </c>
      <c r="K100" s="120">
        <v>45816</v>
      </c>
      <c r="L100" s="121">
        <f t="shared" si="24"/>
        <v>3.6256304706760556E-2</v>
      </c>
      <c r="M100" s="120">
        <v>49157</v>
      </c>
      <c r="N100" s="121">
        <f t="shared" si="25"/>
        <v>7.292212327571157E-2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11343</v>
      </c>
      <c r="F101" s="121" t="str">
        <f t="shared" si="24"/>
        <v>-</v>
      </c>
      <c r="G101" s="120">
        <v>38064</v>
      </c>
      <c r="H101" s="121">
        <f t="shared" si="24"/>
        <v>2.355725998413118</v>
      </c>
      <c r="I101" s="120">
        <v>34250</v>
      </c>
      <c r="J101" s="121">
        <f t="shared" si="24"/>
        <v>-0.10019966372425393</v>
      </c>
      <c r="K101" s="120">
        <v>42177</v>
      </c>
      <c r="L101" s="121">
        <f t="shared" si="24"/>
        <v>0.2314452554744526</v>
      </c>
      <c r="M101" s="120">
        <v>44836</v>
      </c>
      <c r="N101" s="121">
        <f t="shared" si="25"/>
        <v>6.3043839059202966E-2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13593</v>
      </c>
      <c r="F102" s="121" t="str">
        <f t="shared" si="24"/>
        <v>-</v>
      </c>
      <c r="G102" s="120">
        <v>37123</v>
      </c>
      <c r="H102" s="121">
        <f t="shared" si="24"/>
        <v>1.731038034282351</v>
      </c>
      <c r="I102" s="120">
        <v>42497</v>
      </c>
      <c r="J102" s="121">
        <f t="shared" si="24"/>
        <v>0.14476200738086908</v>
      </c>
      <c r="K102" s="120">
        <v>42496</v>
      </c>
      <c r="L102" s="121">
        <f t="shared" si="24"/>
        <v>-2.3531072781635132E-5</v>
      </c>
      <c r="M102" s="120">
        <v>44595</v>
      </c>
      <c r="N102" s="121">
        <f t="shared" si="25"/>
        <v>4.9392884036144613E-2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23514</v>
      </c>
      <c r="F103" s="121" t="str">
        <f t="shared" si="24"/>
        <v>-</v>
      </c>
      <c r="G103" s="120">
        <v>48616</v>
      </c>
      <c r="H103" s="121">
        <f t="shared" si="24"/>
        <v>1.0675342349238752</v>
      </c>
      <c r="I103" s="120">
        <v>42520</v>
      </c>
      <c r="J103" s="121">
        <f t="shared" si="24"/>
        <v>-0.12539081783774886</v>
      </c>
      <c r="K103" s="120">
        <v>44773</v>
      </c>
      <c r="L103" s="121">
        <f t="shared" si="24"/>
        <v>5.2986829727187157E-2</v>
      </c>
      <c r="M103" s="120">
        <v>48521</v>
      </c>
      <c r="N103" s="121">
        <f t="shared" si="25"/>
        <v>8.3711165211176386E-2</v>
      </c>
    </row>
    <row r="104" spans="2:14" x14ac:dyDescent="0.25">
      <c r="B104" s="119" t="s">
        <v>88</v>
      </c>
      <c r="C104" s="120">
        <v>16622</v>
      </c>
      <c r="D104" s="121">
        <v>-0.70052608820985873</v>
      </c>
      <c r="E104" s="120">
        <v>24816</v>
      </c>
      <c r="F104" s="121">
        <f t="shared" si="24"/>
        <v>0.49296113584406198</v>
      </c>
      <c r="G104" s="120">
        <v>46323</v>
      </c>
      <c r="H104" s="121">
        <f t="shared" si="24"/>
        <v>0.86665860735009681</v>
      </c>
      <c r="I104" s="120">
        <v>47103</v>
      </c>
      <c r="J104" s="121">
        <f t="shared" si="24"/>
        <v>1.6838287675668751E-2</v>
      </c>
      <c r="K104" s="120">
        <v>47679</v>
      </c>
      <c r="L104" s="121">
        <f t="shared" si="24"/>
        <v>1.2228520476402771E-2</v>
      </c>
      <c r="M104" s="120">
        <v>46245</v>
      </c>
      <c r="N104" s="121">
        <f t="shared" si="25"/>
        <v>-3.0076134147108746E-2</v>
      </c>
    </row>
    <row r="105" spans="2:14" x14ac:dyDescent="0.25">
      <c r="B105" s="119" t="s">
        <v>90</v>
      </c>
      <c r="C105" s="120">
        <v>9395</v>
      </c>
      <c r="D105" s="121">
        <v>-0.78118595118315626</v>
      </c>
      <c r="E105" s="120">
        <v>25068</v>
      </c>
      <c r="F105" s="121">
        <f t="shared" si="24"/>
        <v>1.668227780734433</v>
      </c>
      <c r="G105" s="120">
        <v>38894</v>
      </c>
      <c r="H105" s="121">
        <f t="shared" si="24"/>
        <v>0.55153981171214306</v>
      </c>
      <c r="I105" s="120">
        <v>40104</v>
      </c>
      <c r="J105" s="121">
        <f t="shared" si="24"/>
        <v>3.1110196945544288E-2</v>
      </c>
      <c r="K105" s="120">
        <v>39500</v>
      </c>
      <c r="L105" s="121">
        <f t="shared" si="24"/>
        <v>-1.5060841811290637E-2</v>
      </c>
      <c r="M105" s="120">
        <v>44469</v>
      </c>
      <c r="N105" s="121">
        <f t="shared" si="25"/>
        <v>0.12579746835443029</v>
      </c>
    </row>
    <row r="106" spans="2:14" x14ac:dyDescent="0.25">
      <c r="B106" s="119" t="s">
        <v>92</v>
      </c>
      <c r="C106" s="120">
        <v>11947</v>
      </c>
      <c r="D106" s="121">
        <v>-0.72879162788585949</v>
      </c>
      <c r="E106" s="120">
        <v>35433</v>
      </c>
      <c r="F106" s="121">
        <f t="shared" si="24"/>
        <v>1.9658491671549343</v>
      </c>
      <c r="G106" s="120">
        <v>41972</v>
      </c>
      <c r="H106" s="121">
        <f t="shared" si="24"/>
        <v>0.18454548020207162</v>
      </c>
      <c r="I106" s="120">
        <v>46013</v>
      </c>
      <c r="J106" s="121">
        <f t="shared" si="24"/>
        <v>9.6278471361860296E-2</v>
      </c>
      <c r="K106" s="120">
        <v>45196</v>
      </c>
      <c r="L106" s="121">
        <f t="shared" si="24"/>
        <v>-1.7755851607154538E-2</v>
      </c>
      <c r="M106" s="120">
        <v>48723</v>
      </c>
      <c r="N106" s="121">
        <f t="shared" si="25"/>
        <v>7.8037879458359161E-2</v>
      </c>
    </row>
    <row r="107" spans="2:14" x14ac:dyDescent="0.25">
      <c r="B107" s="119" t="s">
        <v>94</v>
      </c>
      <c r="C107" s="120">
        <v>9017</v>
      </c>
      <c r="D107" s="121">
        <v>-0.7928269460527525</v>
      </c>
      <c r="E107" s="120">
        <v>35792</v>
      </c>
      <c r="F107" s="121">
        <f t="shared" si="24"/>
        <v>2.9693911500499057</v>
      </c>
      <c r="G107" s="120">
        <v>41589</v>
      </c>
      <c r="H107" s="121">
        <f t="shared" si="24"/>
        <v>0.16196356727760386</v>
      </c>
      <c r="I107" s="120">
        <v>42977</v>
      </c>
      <c r="J107" s="121">
        <f t="shared" si="24"/>
        <v>3.3374209526557452E-2</v>
      </c>
      <c r="K107" s="120">
        <v>43526</v>
      </c>
      <c r="L107" s="121">
        <f t="shared" si="24"/>
        <v>1.2774274612001868E-2</v>
      </c>
      <c r="M107" s="120">
        <v>43889</v>
      </c>
      <c r="N107" s="121">
        <f t="shared" si="25"/>
        <v>8.3398428525478518E-3</v>
      </c>
    </row>
    <row r="108" spans="2:14" x14ac:dyDescent="0.25">
      <c r="B108" s="119" t="s">
        <v>96</v>
      </c>
      <c r="C108" s="120">
        <v>9171</v>
      </c>
      <c r="D108" s="121">
        <v>-0.79918984015765271</v>
      </c>
      <c r="E108" s="120">
        <v>33484</v>
      </c>
      <c r="F108" s="121">
        <f t="shared" si="24"/>
        <v>2.6510740377276196</v>
      </c>
      <c r="G108" s="120">
        <v>40363</v>
      </c>
      <c r="H108" s="121">
        <f t="shared" si="24"/>
        <v>0.20544140485007767</v>
      </c>
      <c r="I108" s="120">
        <v>43945</v>
      </c>
      <c r="J108" s="121">
        <f t="shared" si="24"/>
        <v>8.8744642370487847E-2</v>
      </c>
      <c r="K108" s="120">
        <v>43563</v>
      </c>
      <c r="L108" s="121">
        <f t="shared" si="24"/>
        <v>-8.6926840368642955E-3</v>
      </c>
      <c r="M108" s="120">
        <v>44416</v>
      </c>
      <c r="N108" s="121">
        <f t="shared" si="25"/>
        <v>1.9580836948786873E-2</v>
      </c>
    </row>
    <row r="109" spans="2:14" ht="15.75" x14ac:dyDescent="0.25">
      <c r="B109" s="122" t="s">
        <v>33</v>
      </c>
      <c r="C109" s="123">
        <v>169066</v>
      </c>
      <c r="D109" s="124">
        <v>-0.70308877867850572</v>
      </c>
      <c r="E109" s="123">
        <v>235509</v>
      </c>
      <c r="F109" s="124">
        <f t="shared" si="24"/>
        <v>0.39300036672068894</v>
      </c>
      <c r="G109" s="123">
        <v>490978</v>
      </c>
      <c r="H109" s="124">
        <f t="shared" si="24"/>
        <v>1.0847525996883345</v>
      </c>
      <c r="I109" s="123">
        <v>509465</v>
      </c>
      <c r="J109" s="124">
        <f t="shared" si="24"/>
        <v>3.7653418279434137E-2</v>
      </c>
      <c r="K109" s="123">
        <v>526356</v>
      </c>
      <c r="L109" s="124">
        <f t="shared" si="24"/>
        <v>3.3154387445653688E-2</v>
      </c>
      <c r="M109" s="123">
        <v>544782</v>
      </c>
      <c r="N109" s="124">
        <v>3.5006725486172785E-2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1:11" x14ac:dyDescent="0.25">
      <c r="K114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94BE0-897F-4E7F-BA47-90756F3065B6}">
  <sheetPr>
    <tabColor theme="7" tint="0.79998168889431442"/>
  </sheetPr>
  <dimension ref="A4:E116"/>
  <sheetViews>
    <sheetView showGridLines="0" zoomScaleNormal="100" workbookViewId="0">
      <selection activeCell="H9" sqref="H9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260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1387795</v>
      </c>
      <c r="D8" s="121">
        <f t="shared" ref="D8:D10" si="0">C8/C9-1</f>
        <v>5.10604555066132E-2</v>
      </c>
    </row>
    <row r="9" spans="1:5" x14ac:dyDescent="0.25">
      <c r="A9" s="1"/>
      <c r="B9" s="119">
        <v>2023</v>
      </c>
      <c r="C9" s="120">
        <v>1320376</v>
      </c>
      <c r="D9" s="121">
        <f t="shared" si="0"/>
        <v>6.1792390242333406E-2</v>
      </c>
    </row>
    <row r="10" spans="1:5" x14ac:dyDescent="0.25">
      <c r="A10" s="1"/>
      <c r="B10" s="119">
        <v>2022</v>
      </c>
      <c r="C10" s="120">
        <v>1243535</v>
      </c>
      <c r="D10" s="121">
        <f t="shared" si="0"/>
        <v>1.5261854555944239</v>
      </c>
    </row>
    <row r="11" spans="1:5" x14ac:dyDescent="0.25">
      <c r="A11" s="1"/>
      <c r="B11" s="119">
        <v>2021</v>
      </c>
      <c r="C11" s="120">
        <v>492258</v>
      </c>
      <c r="D11" s="121">
        <f>C11/C12-1</f>
        <v>0.31148143707788845</v>
      </c>
    </row>
    <row r="12" spans="1:5" x14ac:dyDescent="0.25">
      <c r="A12" s="1" t="s">
        <v>75</v>
      </c>
      <c r="B12" s="119">
        <v>2020</v>
      </c>
      <c r="C12" s="120">
        <v>375345</v>
      </c>
      <c r="D12" s="121">
        <f t="shared" ref="D12:D21" si="1">C12/C13-1</f>
        <v>-0.71114220212080703</v>
      </c>
    </row>
    <row r="13" spans="1:5" x14ac:dyDescent="0.25">
      <c r="A13" s="1" t="s">
        <v>77</v>
      </c>
      <c r="B13" s="119">
        <v>2019</v>
      </c>
      <c r="C13" s="120">
        <v>1299411</v>
      </c>
      <c r="D13" s="121">
        <f t="shared" si="1"/>
        <v>-1.7694800040519598E-2</v>
      </c>
    </row>
    <row r="14" spans="1:5" x14ac:dyDescent="0.25">
      <c r="A14" s="1" t="s">
        <v>79</v>
      </c>
      <c r="B14" s="119">
        <v>2018</v>
      </c>
      <c r="C14" s="120">
        <v>1322818</v>
      </c>
      <c r="D14" s="121">
        <f t="shared" si="1"/>
        <v>-2.7906522152891688E-2</v>
      </c>
    </row>
    <row r="15" spans="1:5" x14ac:dyDescent="0.25">
      <c r="A15" s="1" t="s">
        <v>81</v>
      </c>
      <c r="B15" s="119">
        <v>2017</v>
      </c>
      <c r="C15" s="120">
        <v>1360793</v>
      </c>
      <c r="D15" s="121">
        <f>C15/C16-1</f>
        <v>1.008156851450881E-2</v>
      </c>
    </row>
    <row r="16" spans="1:5" x14ac:dyDescent="0.25">
      <c r="A16" s="1" t="s">
        <v>83</v>
      </c>
      <c r="B16" s="119">
        <v>2016</v>
      </c>
      <c r="C16" s="120">
        <v>1347211</v>
      </c>
      <c r="D16" s="121">
        <f>C16/C17-1</f>
        <v>8.4840222506385565E-2</v>
      </c>
    </row>
    <row r="17" spans="1:5" x14ac:dyDescent="0.25">
      <c r="A17" s="1" t="s">
        <v>85</v>
      </c>
      <c r="B17" s="119">
        <v>2015</v>
      </c>
      <c r="C17" s="120">
        <v>1241852</v>
      </c>
      <c r="D17" s="121">
        <f t="shared" si="1"/>
        <v>2.8319416520653284E-2</v>
      </c>
    </row>
    <row r="18" spans="1:5" x14ac:dyDescent="0.25">
      <c r="A18" s="1" t="s">
        <v>87</v>
      </c>
      <c r="B18" s="119">
        <v>2014</v>
      </c>
      <c r="C18" s="120">
        <v>1207652</v>
      </c>
      <c r="D18" s="121">
        <f t="shared" si="1"/>
        <v>2.4086536504619893E-2</v>
      </c>
    </row>
    <row r="19" spans="1:5" x14ac:dyDescent="0.25">
      <c r="A19" s="1" t="s">
        <v>89</v>
      </c>
      <c r="B19" s="119">
        <v>2013</v>
      </c>
      <c r="C19" s="120">
        <v>1179248</v>
      </c>
      <c r="D19" s="121">
        <f t="shared" si="1"/>
        <v>3.3603907060072213E-2</v>
      </c>
    </row>
    <row r="20" spans="1:5" x14ac:dyDescent="0.25">
      <c r="A20" s="1" t="s">
        <v>91</v>
      </c>
      <c r="B20" s="119">
        <v>2012</v>
      </c>
      <c r="C20" s="120">
        <v>1140909</v>
      </c>
      <c r="D20" s="121">
        <f>C20/C21-1</f>
        <v>2.3783124612326567E-3</v>
      </c>
    </row>
    <row r="21" spans="1:5" x14ac:dyDescent="0.25">
      <c r="A21" s="1" t="s">
        <v>93</v>
      </c>
      <c r="B21" s="119">
        <v>2011</v>
      </c>
      <c r="C21" s="120">
        <v>1138202</v>
      </c>
      <c r="D21" s="121">
        <f t="shared" si="1"/>
        <v>0.10739105857720643</v>
      </c>
    </row>
    <row r="22" spans="1:5" x14ac:dyDescent="0.25">
      <c r="A22" s="1" t="s">
        <v>95</v>
      </c>
      <c r="B22" s="119">
        <v>2010</v>
      </c>
      <c r="C22" s="120">
        <v>1027823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5" spans="1:5" x14ac:dyDescent="0.25">
      <c r="B25" t="s">
        <v>12</v>
      </c>
    </row>
    <row r="27" spans="1:5" ht="48.75" customHeight="1" thickBot="1" x14ac:dyDescent="0.3">
      <c r="B27" s="283" t="s">
        <v>261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141</v>
      </c>
      <c r="D30" s="117" t="s">
        <v>142</v>
      </c>
    </row>
    <row r="31" spans="1:5" x14ac:dyDescent="0.25">
      <c r="B31" s="119">
        <v>2024</v>
      </c>
      <c r="C31" s="120">
        <v>861439</v>
      </c>
      <c r="D31" s="121">
        <f t="shared" ref="D31:D44" si="2">C31/C32-1</f>
        <v>6.231016720700544E-2</v>
      </c>
    </row>
    <row r="32" spans="1:5" x14ac:dyDescent="0.25">
      <c r="B32" s="119">
        <v>2023</v>
      </c>
      <c r="C32" s="120">
        <v>810911</v>
      </c>
      <c r="D32" s="121">
        <f t="shared" si="2"/>
        <v>7.7540970318527469E-2</v>
      </c>
    </row>
    <row r="33" spans="2:4" x14ac:dyDescent="0.25">
      <c r="B33" s="119">
        <v>2022</v>
      </c>
      <c r="C33" s="120">
        <v>752557</v>
      </c>
      <c r="D33" s="121">
        <f t="shared" si="2"/>
        <v>1.9311000237586127</v>
      </c>
    </row>
    <row r="34" spans="2:4" x14ac:dyDescent="0.25">
      <c r="B34" s="119">
        <v>2021</v>
      </c>
      <c r="C34" s="120">
        <v>256749</v>
      </c>
      <c r="D34" s="121">
        <f t="shared" si="2"/>
        <v>0.24466862841103554</v>
      </c>
    </row>
    <row r="35" spans="2:4" x14ac:dyDescent="0.25">
      <c r="B35" s="119">
        <v>2020</v>
      </c>
      <c r="C35" s="120">
        <v>206279</v>
      </c>
      <c r="D35" s="121">
        <f t="shared" si="2"/>
        <v>-0.71742409194583523</v>
      </c>
    </row>
    <row r="36" spans="2:4" x14ac:dyDescent="0.25">
      <c r="B36" s="119">
        <v>2019</v>
      </c>
      <c r="C36" s="120">
        <v>729995</v>
      </c>
      <c r="D36" s="121">
        <f t="shared" si="2"/>
        <v>2.9706531628428623E-2</v>
      </c>
    </row>
    <row r="37" spans="2:4" x14ac:dyDescent="0.25">
      <c r="B37" s="119">
        <v>2018</v>
      </c>
      <c r="C37" s="120">
        <v>708935</v>
      </c>
      <c r="D37" s="121">
        <f t="shared" si="2"/>
        <v>-1.8136365524978215E-2</v>
      </c>
    </row>
    <row r="38" spans="2:4" x14ac:dyDescent="0.25">
      <c r="B38" s="119">
        <v>2017</v>
      </c>
      <c r="C38" s="120">
        <v>722030</v>
      </c>
      <c r="D38" s="121">
        <f>C38/C39-1</f>
        <v>-2.2733363471236778E-2</v>
      </c>
    </row>
    <row r="39" spans="2:4" x14ac:dyDescent="0.25">
      <c r="B39" s="119">
        <v>2016</v>
      </c>
      <c r="C39" s="120">
        <v>738826</v>
      </c>
      <c r="D39" s="121">
        <f>C39/C40-1</f>
        <v>9.4570009718633719E-2</v>
      </c>
    </row>
    <row r="40" spans="2:4" x14ac:dyDescent="0.25">
      <c r="B40" s="119">
        <v>2015</v>
      </c>
      <c r="C40" s="120">
        <v>674992</v>
      </c>
      <c r="D40" s="121">
        <f t="shared" si="2"/>
        <v>5.0406084024145592E-2</v>
      </c>
    </row>
    <row r="41" spans="2:4" x14ac:dyDescent="0.25">
      <c r="B41" s="119">
        <v>2014</v>
      </c>
      <c r="C41" s="120">
        <v>642601</v>
      </c>
      <c r="D41" s="121">
        <f t="shared" si="2"/>
        <v>3.0089928345863548E-2</v>
      </c>
    </row>
    <row r="42" spans="2:4" x14ac:dyDescent="0.25">
      <c r="B42" s="119">
        <v>2013</v>
      </c>
      <c r="C42" s="120">
        <v>623830</v>
      </c>
      <c r="D42" s="121">
        <f t="shared" si="2"/>
        <v>2.3516112466509309E-2</v>
      </c>
    </row>
    <row r="43" spans="2:4" x14ac:dyDescent="0.25">
      <c r="B43" s="119">
        <v>2012</v>
      </c>
      <c r="C43" s="120">
        <v>609497</v>
      </c>
      <c r="D43" s="121">
        <f>C43/C44-1</f>
        <v>-8.5223575648734062E-3</v>
      </c>
    </row>
    <row r="44" spans="2:4" x14ac:dyDescent="0.25">
      <c r="B44" s="119">
        <v>2011</v>
      </c>
      <c r="C44" s="120">
        <v>614736</v>
      </c>
      <c r="D44" s="121">
        <f t="shared" si="2"/>
        <v>9.2021444787488305E-2</v>
      </c>
    </row>
    <row r="45" spans="2:4" x14ac:dyDescent="0.25">
      <c r="B45" s="119">
        <v>2010</v>
      </c>
      <c r="C45" s="120">
        <v>562934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262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141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651234</v>
      </c>
      <c r="D54" s="121">
        <f t="shared" ref="D54:D56" si="3">C54/C55-1</f>
        <v>6.7808532512186881E-2</v>
      </c>
    </row>
    <row r="55" spans="1:5" x14ac:dyDescent="0.25">
      <c r="A55" s="1"/>
      <c r="B55" s="119">
        <v>2023</v>
      </c>
      <c r="C55" s="120">
        <v>609879</v>
      </c>
      <c r="D55" s="121">
        <f t="shared" si="3"/>
        <v>6.3679981582476897E-2</v>
      </c>
    </row>
    <row r="56" spans="1:5" x14ac:dyDescent="0.25">
      <c r="A56" s="1"/>
      <c r="B56" s="119">
        <v>2022</v>
      </c>
      <c r="C56" s="120">
        <v>573367</v>
      </c>
      <c r="D56" s="121">
        <f t="shared" si="3"/>
        <v>1.7822949674150923</v>
      </c>
    </row>
    <row r="57" spans="1:5" x14ac:dyDescent="0.25">
      <c r="A57" s="1"/>
      <c r="B57" s="119">
        <v>2021</v>
      </c>
      <c r="C57" s="120">
        <v>206077</v>
      </c>
      <c r="D57" s="121">
        <f>C57/C58-1</f>
        <v>0.35582325618116495</v>
      </c>
    </row>
    <row r="58" spans="1:5" x14ac:dyDescent="0.25">
      <c r="A58" s="1">
        <v>2</v>
      </c>
      <c r="B58" s="119">
        <v>2020</v>
      </c>
      <c r="C58" s="120">
        <v>151994</v>
      </c>
      <c r="D58" s="121">
        <f t="shared" ref="D58:D67" si="4">C58/C59-1</f>
        <v>-0.72479562552621335</v>
      </c>
    </row>
    <row r="59" spans="1:5" x14ac:dyDescent="0.25">
      <c r="A59" s="1">
        <v>3</v>
      </c>
      <c r="B59" s="119">
        <v>2019</v>
      </c>
      <c r="C59" s="120">
        <v>552295</v>
      </c>
      <c r="D59" s="121">
        <f t="shared" si="4"/>
        <v>8.2498373199739738E-2</v>
      </c>
    </row>
    <row r="60" spans="1:5" x14ac:dyDescent="0.25">
      <c r="A60" s="1">
        <v>4</v>
      </c>
      <c r="B60" s="119">
        <v>2018</v>
      </c>
      <c r="C60" s="120">
        <v>510204</v>
      </c>
      <c r="D60" s="121">
        <f t="shared" si="4"/>
        <v>2.50132139720316E-3</v>
      </c>
    </row>
    <row r="61" spans="1:5" x14ac:dyDescent="0.25">
      <c r="A61" s="1">
        <v>5</v>
      </c>
      <c r="B61" s="119">
        <v>2017</v>
      </c>
      <c r="C61" s="120">
        <v>508931</v>
      </c>
      <c r="D61" s="121">
        <f>C61/C62-1</f>
        <v>-3.8475635561198263E-2</v>
      </c>
    </row>
    <row r="62" spans="1:5" x14ac:dyDescent="0.25">
      <c r="A62" s="1">
        <v>6</v>
      </c>
      <c r="B62" s="119">
        <v>2016</v>
      </c>
      <c r="C62" s="120">
        <v>529296</v>
      </c>
      <c r="D62" s="121">
        <f>C62/C63-1</f>
        <v>7.8771499672880996E-2</v>
      </c>
    </row>
    <row r="63" spans="1:5" x14ac:dyDescent="0.25">
      <c r="A63" s="1">
        <v>7</v>
      </c>
      <c r="B63" s="119">
        <v>2015</v>
      </c>
      <c r="C63" s="120">
        <v>490647</v>
      </c>
      <c r="D63" s="121">
        <f t="shared" si="4"/>
        <v>6.0333370071899539E-2</v>
      </c>
    </row>
    <row r="64" spans="1:5" x14ac:dyDescent="0.25">
      <c r="A64" s="1">
        <v>8</v>
      </c>
      <c r="B64" s="119">
        <v>2014</v>
      </c>
      <c r="C64" s="120">
        <v>462729</v>
      </c>
      <c r="D64" s="121">
        <f t="shared" si="4"/>
        <v>4.8836877214217145E-2</v>
      </c>
    </row>
    <row r="65" spans="1:5" x14ac:dyDescent="0.25">
      <c r="A65" s="1">
        <v>9</v>
      </c>
      <c r="B65" s="119">
        <v>2013</v>
      </c>
      <c r="C65" s="120">
        <v>441183</v>
      </c>
      <c r="D65" s="121">
        <f t="shared" si="4"/>
        <v>4.3183107916390906E-2</v>
      </c>
    </row>
    <row r="66" spans="1:5" x14ac:dyDescent="0.25">
      <c r="A66" s="1">
        <v>10</v>
      </c>
      <c r="B66" s="119">
        <v>2012</v>
      </c>
      <c r="C66" s="120">
        <v>422920</v>
      </c>
      <c r="D66" s="121">
        <f>C66/C67-1</f>
        <v>2.8149394298161434E-2</v>
      </c>
    </row>
    <row r="67" spans="1:5" x14ac:dyDescent="0.25">
      <c r="A67" s="1">
        <v>11</v>
      </c>
      <c r="B67" s="119">
        <v>2011</v>
      </c>
      <c r="C67" s="120">
        <v>411341</v>
      </c>
      <c r="D67" s="121">
        <f t="shared" si="4"/>
        <v>6.3058709208897445E-2</v>
      </c>
    </row>
    <row r="68" spans="1:5" x14ac:dyDescent="0.25">
      <c r="A68" s="1">
        <v>12</v>
      </c>
      <c r="B68" s="119">
        <v>2010</v>
      </c>
      <c r="C68" s="120">
        <v>386941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144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141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210205</v>
      </c>
      <c r="D77" s="121">
        <f t="shared" ref="D77:D83" si="5">C77/C78-1</f>
        <v>4.5629551514186906E-2</v>
      </c>
    </row>
    <row r="78" spans="1:5" x14ac:dyDescent="0.25">
      <c r="A78" s="1"/>
      <c r="B78" s="119">
        <v>2023</v>
      </c>
      <c r="C78" s="120">
        <v>201032</v>
      </c>
      <c r="D78" s="121">
        <f t="shared" si="5"/>
        <v>0.12189296277694073</v>
      </c>
    </row>
    <row r="79" spans="1:5" x14ac:dyDescent="0.25">
      <c r="A79" s="1"/>
      <c r="B79" s="119">
        <v>2022</v>
      </c>
      <c r="C79" s="120">
        <v>179190</v>
      </c>
      <c r="D79" s="121">
        <f t="shared" si="5"/>
        <v>2.536272497631828</v>
      </c>
    </row>
    <row r="80" spans="1:5" x14ac:dyDescent="0.25">
      <c r="A80" s="1"/>
      <c r="B80" s="119">
        <v>2021</v>
      </c>
      <c r="C80" s="120">
        <v>50672</v>
      </c>
      <c r="D80" s="121">
        <f t="shared" si="5"/>
        <v>-6.6556138896564421E-2</v>
      </c>
    </row>
    <row r="81" spans="1:5" x14ac:dyDescent="0.25">
      <c r="A81" s="1">
        <v>2</v>
      </c>
      <c r="B81" s="119">
        <v>2020</v>
      </c>
      <c r="C81" s="120">
        <v>54285</v>
      </c>
      <c r="D81" s="121">
        <f t="shared" si="5"/>
        <v>-0.69451322453573439</v>
      </c>
    </row>
    <row r="82" spans="1:5" x14ac:dyDescent="0.25">
      <c r="A82" s="1">
        <v>3</v>
      </c>
      <c r="B82" s="119">
        <v>2019</v>
      </c>
      <c r="C82" s="120">
        <v>177700</v>
      </c>
      <c r="D82" s="121">
        <f t="shared" si="5"/>
        <v>-0.10582646894545888</v>
      </c>
    </row>
    <row r="83" spans="1:5" x14ac:dyDescent="0.25">
      <c r="A83" s="1">
        <v>4</v>
      </c>
      <c r="B83" s="119">
        <v>2018</v>
      </c>
      <c r="C83" s="120">
        <v>198731</v>
      </c>
      <c r="D83" s="121">
        <f t="shared" si="5"/>
        <v>-6.7424061117133394E-2</v>
      </c>
    </row>
    <row r="84" spans="1:5" x14ac:dyDescent="0.25">
      <c r="A84" s="1">
        <v>5</v>
      </c>
      <c r="B84" s="119">
        <v>2017</v>
      </c>
      <c r="C84" s="120">
        <v>213099</v>
      </c>
      <c r="D84" s="121">
        <f>C84/C85-1</f>
        <v>1.703336037798886E-2</v>
      </c>
    </row>
    <row r="85" spans="1:5" x14ac:dyDescent="0.25">
      <c r="A85" s="1">
        <v>6</v>
      </c>
      <c r="B85" s="119">
        <v>2016</v>
      </c>
      <c r="C85" s="120">
        <v>209530</v>
      </c>
      <c r="D85" s="121">
        <f>C85/C86-1</f>
        <v>0.13661883967560828</v>
      </c>
    </row>
    <row r="86" spans="1:5" x14ac:dyDescent="0.25">
      <c r="A86" s="1">
        <v>7</v>
      </c>
      <c r="B86" s="119">
        <v>2015</v>
      </c>
      <c r="C86" s="120">
        <v>184345</v>
      </c>
      <c r="D86" s="121">
        <f t="shared" ref="D86:D88" si="6">C86/C87-1</f>
        <v>2.4867683686176756E-2</v>
      </c>
    </row>
    <row r="87" spans="1:5" x14ac:dyDescent="0.25">
      <c r="A87" s="1">
        <v>8</v>
      </c>
      <c r="B87" s="119">
        <v>2014</v>
      </c>
      <c r="C87" s="120">
        <v>179872</v>
      </c>
      <c r="D87" s="121">
        <f t="shared" si="6"/>
        <v>-1.5193241608129293E-2</v>
      </c>
    </row>
    <row r="88" spans="1:5" x14ac:dyDescent="0.25">
      <c r="A88" s="1">
        <v>9</v>
      </c>
      <c r="B88" s="119">
        <v>2013</v>
      </c>
      <c r="C88" s="120">
        <v>182647</v>
      </c>
      <c r="D88" s="121">
        <f t="shared" si="6"/>
        <v>-2.1063689522288431E-2</v>
      </c>
    </row>
    <row r="89" spans="1:5" x14ac:dyDescent="0.25">
      <c r="A89" s="1">
        <v>10</v>
      </c>
      <c r="B89" s="119">
        <v>2012</v>
      </c>
      <c r="C89" s="120">
        <v>186577</v>
      </c>
      <c r="D89" s="121">
        <f>C89/C90-1</f>
        <v>-8.2686398387374349E-2</v>
      </c>
    </row>
    <row r="90" spans="1:5" x14ac:dyDescent="0.25">
      <c r="A90" s="1">
        <v>11</v>
      </c>
      <c r="B90" s="119">
        <v>2011</v>
      </c>
      <c r="C90" s="120">
        <v>203395</v>
      </c>
      <c r="D90" s="121">
        <f t="shared" ref="D90" si="7">C90/C91-1</f>
        <v>0.1556993744069366</v>
      </c>
    </row>
    <row r="91" spans="1:5" x14ac:dyDescent="0.25">
      <c r="A91" s="1">
        <v>12</v>
      </c>
      <c r="B91" s="119">
        <v>2010</v>
      </c>
      <c r="C91" s="120">
        <v>175993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263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141</v>
      </c>
      <c r="D99" s="117" t="s">
        <v>142</v>
      </c>
    </row>
    <row r="100" spans="2:5" x14ac:dyDescent="0.25">
      <c r="B100" s="119">
        <v>2024</v>
      </c>
      <c r="C100" s="120">
        <v>526356</v>
      </c>
      <c r="D100" s="121">
        <f t="shared" ref="D100:D113" si="8">C100/C101-1</f>
        <v>3.3154387445653688E-2</v>
      </c>
    </row>
    <row r="101" spans="2:5" x14ac:dyDescent="0.25">
      <c r="B101" s="119">
        <v>2023</v>
      </c>
      <c r="C101" s="120">
        <v>509465</v>
      </c>
      <c r="D101" s="121">
        <f t="shared" si="8"/>
        <v>3.7653418279434137E-2</v>
      </c>
    </row>
    <row r="102" spans="2:5" x14ac:dyDescent="0.25">
      <c r="B102" s="119">
        <v>2022</v>
      </c>
      <c r="C102" s="120">
        <v>490978</v>
      </c>
      <c r="D102" s="121">
        <f t="shared" si="8"/>
        <v>1.0847525996883345</v>
      </c>
    </row>
    <row r="103" spans="2:5" x14ac:dyDescent="0.25">
      <c r="B103" s="119">
        <v>2021</v>
      </c>
      <c r="C103" s="120">
        <v>235509</v>
      </c>
      <c r="D103" s="121">
        <f t="shared" si="8"/>
        <v>0.39300036672068894</v>
      </c>
    </row>
    <row r="104" spans="2:5" x14ac:dyDescent="0.25">
      <c r="B104" s="119">
        <v>2020</v>
      </c>
      <c r="C104" s="120">
        <v>169066</v>
      </c>
      <c r="D104" s="121">
        <f t="shared" si="8"/>
        <v>-0.70308877867850572</v>
      </c>
    </row>
    <row r="105" spans="2:5" x14ac:dyDescent="0.25">
      <c r="B105" s="119">
        <v>2019</v>
      </c>
      <c r="C105" s="120">
        <v>569416</v>
      </c>
      <c r="D105" s="121">
        <f t="shared" si="8"/>
        <v>-7.2435626984295065E-2</v>
      </c>
    </row>
    <row r="106" spans="2:5" x14ac:dyDescent="0.25">
      <c r="B106" s="119">
        <v>2018</v>
      </c>
      <c r="C106" s="120">
        <v>613883</v>
      </c>
      <c r="D106" s="121">
        <f t="shared" si="8"/>
        <v>-3.8950283595010959E-2</v>
      </c>
    </row>
    <row r="107" spans="2:5" x14ac:dyDescent="0.25">
      <c r="B107" s="119">
        <v>2017</v>
      </c>
      <c r="C107" s="120">
        <v>638763</v>
      </c>
      <c r="D107" s="121">
        <f t="shared" si="8"/>
        <v>4.9932197539387158E-2</v>
      </c>
    </row>
    <row r="108" spans="2:5" x14ac:dyDescent="0.25">
      <c r="B108" s="119">
        <v>2016</v>
      </c>
      <c r="C108" s="120">
        <v>608385</v>
      </c>
      <c r="D108" s="121">
        <f t="shared" si="8"/>
        <v>7.3254419080549082E-2</v>
      </c>
    </row>
    <row r="109" spans="2:5" x14ac:dyDescent="0.25">
      <c r="B109" s="119">
        <v>2015</v>
      </c>
      <c r="C109" s="120">
        <v>566860</v>
      </c>
      <c r="D109" s="121">
        <f t="shared" si="8"/>
        <v>3.2014809282701062E-3</v>
      </c>
    </row>
    <row r="110" spans="2:5" x14ac:dyDescent="0.25">
      <c r="B110" s="119">
        <v>2014</v>
      </c>
      <c r="C110" s="120">
        <v>565051</v>
      </c>
      <c r="D110" s="121">
        <f t="shared" si="8"/>
        <v>1.7343694298708412E-2</v>
      </c>
    </row>
    <row r="111" spans="2:5" x14ac:dyDescent="0.25">
      <c r="B111" s="119">
        <v>2013</v>
      </c>
      <c r="C111" s="120">
        <v>555418</v>
      </c>
      <c r="D111" s="121">
        <f t="shared" si="8"/>
        <v>4.5173989296440453E-2</v>
      </c>
    </row>
    <row r="112" spans="2:5" x14ac:dyDescent="0.25">
      <c r="B112" s="119">
        <v>2012</v>
      </c>
      <c r="C112" s="120">
        <v>531412</v>
      </c>
      <c r="D112" s="121">
        <f t="shared" si="8"/>
        <v>1.5179591415679372E-2</v>
      </c>
    </row>
    <row r="113" spans="2:4" x14ac:dyDescent="0.25">
      <c r="B113" s="119">
        <v>2011</v>
      </c>
      <c r="C113" s="120">
        <v>523466</v>
      </c>
      <c r="D113" s="121">
        <f t="shared" si="8"/>
        <v>0.12600212093639551</v>
      </c>
    </row>
    <row r="114" spans="2:4" x14ac:dyDescent="0.25">
      <c r="B114" s="119">
        <v>2010</v>
      </c>
      <c r="C114" s="120">
        <v>464889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72AA-7EF0-4202-974E-6D5E36C523F5}">
  <sheetPr>
    <tabColor theme="7" tint="0.79998168889431442"/>
  </sheetPr>
  <dimension ref="A1:V59"/>
  <sheetViews>
    <sheetView showGridLines="0" topLeftCell="A2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27.42578125" customWidth="1"/>
    <col min="3" max="8" width="12.85546875" customWidth="1"/>
    <col min="9" max="10" width="9.7109375" customWidth="1"/>
    <col min="11" max="11" width="12.28515625" customWidth="1"/>
    <col min="17" max="18" width="11.42578125" customWidth="1"/>
    <col min="19" max="20" width="10.42578125" customWidth="1"/>
    <col min="21" max="21" width="11.140625" customWidth="1"/>
    <col min="22" max="22" width="10.42578125" customWidth="1"/>
  </cols>
  <sheetData>
    <row r="1" spans="1:22" ht="42.75" customHeight="1" x14ac:dyDescent="0.25"/>
    <row r="2" spans="1:22" ht="23.25" x14ac:dyDescent="0.35">
      <c r="B2" s="130"/>
      <c r="C2" s="130"/>
      <c r="D2" s="130"/>
      <c r="E2" s="130"/>
      <c r="F2" s="130"/>
    </row>
    <row r="3" spans="1:22" ht="40.5" customHeight="1" thickBot="1" x14ac:dyDescent="0.3">
      <c r="B3" s="64" t="s">
        <v>146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22" ht="8.25" customHeight="1" thickBot="1" x14ac:dyDescent="0.3">
      <c r="B4" s="85"/>
      <c r="C4" s="85"/>
      <c r="D4" s="85"/>
      <c r="E4" s="85"/>
      <c r="F4" s="85"/>
      <c r="G4" s="85"/>
      <c r="H4" s="85"/>
      <c r="I4" s="85"/>
      <c r="J4" s="86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</row>
    <row r="5" spans="1:22" ht="60.75" thickBot="1" x14ac:dyDescent="0.3">
      <c r="B5" s="87"/>
      <c r="C5" s="131" t="s">
        <v>264</v>
      </c>
      <c r="D5" s="131" t="s">
        <v>236</v>
      </c>
      <c r="E5" s="131" t="s">
        <v>237</v>
      </c>
      <c r="F5" s="131" t="s">
        <v>238</v>
      </c>
      <c r="G5" s="131" t="s">
        <v>239</v>
      </c>
      <c r="H5" s="131" t="s">
        <v>240</v>
      </c>
      <c r="I5" s="132" t="str">
        <f>CONCATENATE("var. ",RIGHT(H5,2),"/",RIGHT(G5,2))</f>
        <v>var. 25/24</v>
      </c>
      <c r="J5" s="132" t="str">
        <f>CONCATENATE("dif. ",RIGHT(H5,2),"/",RIGHT(G5,2))</f>
        <v>dif. 25/24</v>
      </c>
      <c r="K5" s="14" t="str">
        <f>CONCATENATE("cuota ",H5)</f>
        <v>cuota acumulado a diciembre 2025</v>
      </c>
      <c r="L5" s="14" t="str">
        <f>CONCATENATE("cuota/ total municipio ",RIGHT(H5,2))</f>
        <v>cuota/ total municipio 25</v>
      </c>
      <c r="M5" s="13" t="s">
        <v>265</v>
      </c>
      <c r="N5" s="13" t="s">
        <v>231</v>
      </c>
      <c r="O5" s="13" t="s">
        <v>232</v>
      </c>
      <c r="P5" s="13" t="s">
        <v>233</v>
      </c>
      <c r="Q5" s="13" t="s">
        <v>234</v>
      </c>
      <c r="R5" s="13" t="s">
        <v>235</v>
      </c>
      <c r="S5" s="132" t="str">
        <f>CONCATENATE("var. ",RIGHT(R5,2),"/",RIGHT(Q5,2))</f>
        <v>var. 25/24</v>
      </c>
      <c r="T5" s="132" t="str">
        <f>CONCATENATE("dif. ",RIGHT(R5,2),"/",RIGHT(Q5,2))</f>
        <v>dif. 25/24</v>
      </c>
      <c r="U5" s="14" t="str">
        <f>CONCATENATE("cuota ",R5)</f>
        <v>cuota diciembre 2025</v>
      </c>
      <c r="V5" s="133" t="str">
        <f>CONCATENATE("cuota/ total municipio ",RIGHT(R5,2))</f>
        <v>cuota/ total municipio 25</v>
      </c>
    </row>
    <row r="6" spans="1:22" ht="15.75" x14ac:dyDescent="0.25">
      <c r="B6" s="134" t="s">
        <v>46</v>
      </c>
      <c r="C6" s="135">
        <v>1565030</v>
      </c>
      <c r="D6" s="135">
        <v>2335438</v>
      </c>
      <c r="E6" s="135">
        <v>4757683</v>
      </c>
      <c r="F6" s="135">
        <v>5189113</v>
      </c>
      <c r="G6" s="135">
        <v>5483293</v>
      </c>
      <c r="H6" s="135">
        <v>5451268</v>
      </c>
      <c r="I6" s="136">
        <f>IFERROR(H6/G6-1,"-")</f>
        <v>-5.8404684921998795E-3</v>
      </c>
      <c r="J6" s="135">
        <f>IFERROR(H6-G6,"-")</f>
        <v>-32025</v>
      </c>
      <c r="K6" s="136">
        <f t="shared" ref="K6:K57" si="0">IFERROR(H6/$H$6,"-")</f>
        <v>1</v>
      </c>
      <c r="L6" s="137">
        <f>H6/H6</f>
        <v>1</v>
      </c>
      <c r="M6" s="135">
        <v>86477</v>
      </c>
      <c r="N6" s="135">
        <v>313914</v>
      </c>
      <c r="O6" s="135">
        <v>423458</v>
      </c>
      <c r="P6" s="135">
        <v>434399</v>
      </c>
      <c r="Q6" s="135">
        <v>444661</v>
      </c>
      <c r="R6" s="135">
        <v>439399</v>
      </c>
      <c r="S6" s="136">
        <f>IFERROR(R6/Q6-1,"-")</f>
        <v>-1.1833734013102171E-2</v>
      </c>
      <c r="T6" s="135">
        <f t="shared" ref="T6:T57" si="1">R6-Q6</f>
        <v>-5262</v>
      </c>
      <c r="U6" s="136">
        <f>IFERROR(P6/$P$6,"-")</f>
        <v>1</v>
      </c>
      <c r="V6" s="137">
        <f>IFERROR(R6/R6,"-")</f>
        <v>1</v>
      </c>
    </row>
    <row r="7" spans="1:22" ht="15.75" x14ac:dyDescent="0.25">
      <c r="B7" s="138" t="s">
        <v>63</v>
      </c>
      <c r="C7" s="139">
        <v>1195819</v>
      </c>
      <c r="D7" s="139">
        <v>1858031</v>
      </c>
      <c r="E7" s="139">
        <v>3776873</v>
      </c>
      <c r="F7" s="139">
        <v>4088864</v>
      </c>
      <c r="G7" s="139">
        <v>4282545</v>
      </c>
      <c r="H7" s="139">
        <v>4198849</v>
      </c>
      <c r="I7" s="140">
        <f t="shared" ref="I7:I57" si="2">IFERROR(H7/G7-1,"-")</f>
        <v>-1.9543519099040396E-2</v>
      </c>
      <c r="J7" s="139">
        <f t="shared" ref="J7:J57" si="3">IFERROR(H7-G7,"-")</f>
        <v>-83696</v>
      </c>
      <c r="K7" s="140">
        <f t="shared" si="0"/>
        <v>0.77025180196607468</v>
      </c>
      <c r="L7" s="140">
        <f>H7/H6</f>
        <v>0.77025180196607468</v>
      </c>
      <c r="M7" s="139">
        <v>67414</v>
      </c>
      <c r="N7" s="139">
        <v>247406</v>
      </c>
      <c r="O7" s="139">
        <v>336260</v>
      </c>
      <c r="P7" s="139">
        <v>337584</v>
      </c>
      <c r="Q7" s="139">
        <v>345861</v>
      </c>
      <c r="R7" s="139">
        <v>339992</v>
      </c>
      <c r="S7" s="140">
        <f t="shared" ref="S7:S57" si="4">IFERROR(R7/Q7-1,"-")</f>
        <v>-1.6969244870048916E-2</v>
      </c>
      <c r="T7" s="139">
        <f t="shared" si="1"/>
        <v>-5869</v>
      </c>
      <c r="U7" s="140">
        <f t="shared" ref="U7:U57" si="5">IFERROR(P7/$P$6,"-")</f>
        <v>0.77712886079387844</v>
      </c>
      <c r="V7" s="140">
        <f>IFERROR(R7/R6,"-")</f>
        <v>0.77376598490210491</v>
      </c>
    </row>
    <row r="8" spans="1:22" x14ac:dyDescent="0.25">
      <c r="B8" s="99" t="s">
        <v>143</v>
      </c>
      <c r="C8" s="54">
        <v>952608</v>
      </c>
      <c r="D8" s="54">
        <v>1525176</v>
      </c>
      <c r="E8" s="54">
        <v>3104390</v>
      </c>
      <c r="F8" s="54">
        <v>3348191</v>
      </c>
      <c r="G8" s="54">
        <v>3522695</v>
      </c>
      <c r="H8" s="54">
        <v>3438737</v>
      </c>
      <c r="I8" s="100">
        <f t="shared" si="2"/>
        <v>-2.3833457054896923E-2</v>
      </c>
      <c r="J8" s="54">
        <f t="shared" si="3"/>
        <v>-83958</v>
      </c>
      <c r="K8" s="100">
        <f t="shared" si="0"/>
        <v>0.63081415186338297</v>
      </c>
      <c r="L8" s="100">
        <f>H8/H6</f>
        <v>0.63081415186338297</v>
      </c>
      <c r="M8" s="54">
        <v>54924</v>
      </c>
      <c r="N8" s="54">
        <v>202213</v>
      </c>
      <c r="O8" s="54">
        <v>274301</v>
      </c>
      <c r="P8" s="54">
        <v>274342</v>
      </c>
      <c r="Q8" s="54">
        <v>280848</v>
      </c>
      <c r="R8" s="54">
        <v>276756</v>
      </c>
      <c r="S8" s="100">
        <f t="shared" si="4"/>
        <v>-1.4570158947188494E-2</v>
      </c>
      <c r="T8" s="54">
        <f t="shared" si="1"/>
        <v>-4092</v>
      </c>
      <c r="U8" s="100">
        <f t="shared" si="5"/>
        <v>0.6315438111045375</v>
      </c>
      <c r="V8" s="100">
        <f>IFERROR(R8/R6,"-")</f>
        <v>0.62985122860998777</v>
      </c>
    </row>
    <row r="9" spans="1:22" x14ac:dyDescent="0.25">
      <c r="B9" s="99" t="s">
        <v>145</v>
      </c>
      <c r="C9" s="54">
        <v>243211</v>
      </c>
      <c r="D9" s="54">
        <v>332855</v>
      </c>
      <c r="E9" s="54">
        <v>672483</v>
      </c>
      <c r="F9" s="54">
        <v>740673</v>
      </c>
      <c r="G9" s="54">
        <v>759850</v>
      </c>
      <c r="H9" s="54">
        <v>760112</v>
      </c>
      <c r="I9" s="100">
        <f t="shared" si="2"/>
        <v>3.4480489570309913E-4</v>
      </c>
      <c r="J9" s="54">
        <f t="shared" si="3"/>
        <v>262</v>
      </c>
      <c r="K9" s="100">
        <f t="shared" si="0"/>
        <v>0.13943765010269171</v>
      </c>
      <c r="L9" s="100">
        <f>H9/H6</f>
        <v>0.13943765010269171</v>
      </c>
      <c r="M9" s="54">
        <v>12490</v>
      </c>
      <c r="N9" s="54">
        <v>45193</v>
      </c>
      <c r="O9" s="54">
        <v>61959</v>
      </c>
      <c r="P9" s="54">
        <v>63242</v>
      </c>
      <c r="Q9" s="54">
        <v>65013</v>
      </c>
      <c r="R9" s="54">
        <v>63236</v>
      </c>
      <c r="S9" s="100">
        <f t="shared" si="4"/>
        <v>-2.7332994939473609E-2</v>
      </c>
      <c r="T9" s="54">
        <f t="shared" si="1"/>
        <v>-1777</v>
      </c>
      <c r="U9" s="100">
        <f t="shared" si="5"/>
        <v>0.14558504968934091</v>
      </c>
      <c r="V9" s="100">
        <f>IFERROR(R9/R6,"-")</f>
        <v>0.1439147562921172</v>
      </c>
    </row>
    <row r="10" spans="1:22" ht="16.5" thickBot="1" x14ac:dyDescent="0.3">
      <c r="B10" s="141" t="s">
        <v>66</v>
      </c>
      <c r="C10" s="142">
        <v>363484</v>
      </c>
      <c r="D10" s="142">
        <v>477407</v>
      </c>
      <c r="E10" s="142">
        <v>980810</v>
      </c>
      <c r="F10" s="142">
        <v>1100249</v>
      </c>
      <c r="G10" s="142">
        <v>1200748</v>
      </c>
      <c r="H10" s="142">
        <v>1252419</v>
      </c>
      <c r="I10" s="143">
        <f t="shared" si="2"/>
        <v>4.3032343172755727E-2</v>
      </c>
      <c r="J10" s="142">
        <f t="shared" si="3"/>
        <v>51671</v>
      </c>
      <c r="K10" s="143">
        <f t="shared" si="0"/>
        <v>0.22974819803392532</v>
      </c>
      <c r="L10" s="143">
        <f>H10/H6</f>
        <v>0.22974819803392532</v>
      </c>
      <c r="M10" s="142">
        <v>19063</v>
      </c>
      <c r="N10" s="142">
        <v>66508</v>
      </c>
      <c r="O10" s="142">
        <v>87198</v>
      </c>
      <c r="P10" s="142">
        <v>96815</v>
      </c>
      <c r="Q10" s="142">
        <v>98800</v>
      </c>
      <c r="R10" s="142">
        <v>99407</v>
      </c>
      <c r="S10" s="143">
        <f t="shared" si="4"/>
        <v>6.1437246963562675E-3</v>
      </c>
      <c r="T10" s="142">
        <f t="shared" si="1"/>
        <v>607</v>
      </c>
      <c r="U10" s="143">
        <f t="shared" si="5"/>
        <v>0.22287113920612156</v>
      </c>
      <c r="V10" s="143">
        <f>IFERROR(R10/R6,"-")</f>
        <v>0.22623401509789509</v>
      </c>
    </row>
    <row r="11" spans="1:22" ht="15.75" x14ac:dyDescent="0.25">
      <c r="A11" s="144">
        <f>G11/$G$11</f>
        <v>1</v>
      </c>
      <c r="B11" s="134" t="s">
        <v>47</v>
      </c>
      <c r="C11" s="135">
        <v>514095</v>
      </c>
      <c r="D11" s="135">
        <v>881045</v>
      </c>
      <c r="E11" s="135">
        <v>1757049</v>
      </c>
      <c r="F11" s="135">
        <v>1888751</v>
      </c>
      <c r="G11" s="135">
        <v>1938929</v>
      </c>
      <c r="H11" s="135">
        <v>1858237</v>
      </c>
      <c r="I11" s="136">
        <f t="shared" si="2"/>
        <v>-4.1616789475014349E-2</v>
      </c>
      <c r="J11" s="135">
        <f t="shared" si="3"/>
        <v>-80692</v>
      </c>
      <c r="K11" s="136">
        <f t="shared" si="0"/>
        <v>0.34088160772869724</v>
      </c>
      <c r="L11" s="137">
        <f>H11/H11</f>
        <v>1</v>
      </c>
      <c r="M11" s="135">
        <v>27724</v>
      </c>
      <c r="N11" s="135">
        <v>114122</v>
      </c>
      <c r="O11" s="135">
        <v>153975</v>
      </c>
      <c r="P11" s="135">
        <v>161770</v>
      </c>
      <c r="Q11" s="135">
        <v>159454</v>
      </c>
      <c r="R11" s="135">
        <v>155221</v>
      </c>
      <c r="S11" s="136">
        <f t="shared" si="4"/>
        <v>-2.6546841095237528E-2</v>
      </c>
      <c r="T11" s="135">
        <f t="shared" si="1"/>
        <v>-4233</v>
      </c>
      <c r="U11" s="136">
        <f t="shared" si="5"/>
        <v>0.37239956813896902</v>
      </c>
      <c r="V11" s="137">
        <f>IFERROR(R11/R11,"-")</f>
        <v>1</v>
      </c>
    </row>
    <row r="12" spans="1:22" ht="15.75" x14ac:dyDescent="0.25">
      <c r="A12" s="144">
        <f>G12/$G$11</f>
        <v>0.81174710368455982</v>
      </c>
      <c r="B12" s="138" t="s">
        <v>63</v>
      </c>
      <c r="C12" s="139">
        <v>414401</v>
      </c>
      <c r="D12" s="139">
        <v>752768</v>
      </c>
      <c r="E12" s="139">
        <v>1490629</v>
      </c>
      <c r="F12" s="139">
        <v>1543522</v>
      </c>
      <c r="G12" s="139">
        <v>1573920</v>
      </c>
      <c r="H12" s="139">
        <v>1478445</v>
      </c>
      <c r="I12" s="140">
        <f t="shared" si="2"/>
        <v>-6.0660643488868571E-2</v>
      </c>
      <c r="J12" s="139">
        <f t="shared" si="3"/>
        <v>-95475</v>
      </c>
      <c r="K12" s="140">
        <f t="shared" si="0"/>
        <v>0.27121121177678292</v>
      </c>
      <c r="L12" s="140">
        <f>H12/H11</f>
        <v>0.79561702839842285</v>
      </c>
      <c r="M12" s="139">
        <v>22293</v>
      </c>
      <c r="N12" s="139">
        <v>98566</v>
      </c>
      <c r="O12" s="139">
        <v>126581</v>
      </c>
      <c r="P12" s="139">
        <v>129836</v>
      </c>
      <c r="Q12" s="139">
        <v>127791</v>
      </c>
      <c r="R12" s="139">
        <v>124215</v>
      </c>
      <c r="S12" s="140">
        <f t="shared" si="4"/>
        <v>-2.7983191304551958E-2</v>
      </c>
      <c r="T12" s="139">
        <f t="shared" si="1"/>
        <v>-3576</v>
      </c>
      <c r="U12" s="140">
        <f t="shared" si="5"/>
        <v>0.29888650756562513</v>
      </c>
      <c r="V12" s="140">
        <f>IFERROR(R12/R11,"-")</f>
        <v>0.80024610072090763</v>
      </c>
    </row>
    <row r="13" spans="1:22" x14ac:dyDescent="0.25">
      <c r="A13" s="144">
        <f>G13/$G$11</f>
        <v>0.73288965196765843</v>
      </c>
      <c r="B13" s="99" t="s">
        <v>143</v>
      </c>
      <c r="C13" s="54">
        <v>373186</v>
      </c>
      <c r="D13" s="54">
        <v>687822</v>
      </c>
      <c r="E13" s="54">
        <v>1325364</v>
      </c>
      <c r="F13" s="54">
        <v>1377896</v>
      </c>
      <c r="G13" s="54">
        <v>1421021</v>
      </c>
      <c r="H13" s="54">
        <v>1317842</v>
      </c>
      <c r="I13" s="100">
        <f t="shared" si="2"/>
        <v>-7.2609060668350378E-2</v>
      </c>
      <c r="J13" s="54">
        <f t="shared" si="3"/>
        <v>-103179</v>
      </c>
      <c r="K13" s="100">
        <f t="shared" si="0"/>
        <v>0.24174962595858432</v>
      </c>
      <c r="L13" s="100">
        <f>H13/H11</f>
        <v>0.7091894091012072</v>
      </c>
      <c r="M13" s="54">
        <v>21712</v>
      </c>
      <c r="N13" s="54">
        <v>87439</v>
      </c>
      <c r="O13" s="54">
        <v>110632</v>
      </c>
      <c r="P13" s="54">
        <v>116159</v>
      </c>
      <c r="Q13" s="54">
        <v>115661</v>
      </c>
      <c r="R13" s="54">
        <v>111415</v>
      </c>
      <c r="S13" s="100">
        <f t="shared" si="4"/>
        <v>-3.6710732226074461E-2</v>
      </c>
      <c r="T13" s="54">
        <f t="shared" si="1"/>
        <v>-4246</v>
      </c>
      <c r="U13" s="100">
        <f t="shared" si="5"/>
        <v>0.26740162845678744</v>
      </c>
      <c r="V13" s="100">
        <f>IFERROR(R13/R11,"-")</f>
        <v>0.71778303193511184</v>
      </c>
    </row>
    <row r="14" spans="1:22" x14ac:dyDescent="0.25">
      <c r="A14" s="144">
        <f>G14/$G$11</f>
        <v>7.885745171690145E-2</v>
      </c>
      <c r="B14" s="99" t="s">
        <v>145</v>
      </c>
      <c r="C14" s="54">
        <v>41215</v>
      </c>
      <c r="D14" s="54">
        <v>64946</v>
      </c>
      <c r="E14" s="54">
        <v>165265</v>
      </c>
      <c r="F14" s="54">
        <v>165626</v>
      </c>
      <c r="G14" s="54">
        <v>152899</v>
      </c>
      <c r="H14" s="54">
        <v>160603</v>
      </c>
      <c r="I14" s="100">
        <f t="shared" si="2"/>
        <v>5.0386202656655721E-2</v>
      </c>
      <c r="J14" s="54">
        <f t="shared" si="3"/>
        <v>7704</v>
      </c>
      <c r="K14" s="100">
        <f t="shared" si="0"/>
        <v>2.9461585818198629E-2</v>
      </c>
      <c r="L14" s="100">
        <f>H14/H11</f>
        <v>8.6427619297215583E-2</v>
      </c>
      <c r="M14" s="54">
        <v>581</v>
      </c>
      <c r="N14" s="54">
        <v>11127</v>
      </c>
      <c r="O14" s="54">
        <v>15949</v>
      </c>
      <c r="P14" s="54">
        <v>13677</v>
      </c>
      <c r="Q14" s="54">
        <v>12130</v>
      </c>
      <c r="R14" s="54">
        <v>12800</v>
      </c>
      <c r="S14" s="100">
        <f t="shared" si="4"/>
        <v>5.5234954657872981E-2</v>
      </c>
      <c r="T14" s="54">
        <f t="shared" si="1"/>
        <v>670</v>
      </c>
      <c r="U14" s="100">
        <f t="shared" si="5"/>
        <v>3.1484879108837731E-2</v>
      </c>
      <c r="V14" s="100">
        <f>IFERROR(R14/R11,"-")</f>
        <v>8.2463068785795735E-2</v>
      </c>
    </row>
    <row r="15" spans="1:22" ht="16.5" thickBot="1" x14ac:dyDescent="0.3">
      <c r="A15" s="144">
        <f>G15/$G$11</f>
        <v>0.18825289631544012</v>
      </c>
      <c r="B15" s="141" t="s">
        <v>66</v>
      </c>
      <c r="C15" s="142">
        <v>99694</v>
      </c>
      <c r="D15" s="142">
        <v>128277</v>
      </c>
      <c r="E15" s="142">
        <v>266420</v>
      </c>
      <c r="F15" s="142">
        <v>345229</v>
      </c>
      <c r="G15" s="142">
        <v>365009</v>
      </c>
      <c r="H15" s="142">
        <v>379792</v>
      </c>
      <c r="I15" s="143">
        <f t="shared" si="2"/>
        <v>4.0500371223723297E-2</v>
      </c>
      <c r="J15" s="142">
        <f t="shared" si="3"/>
        <v>14783</v>
      </c>
      <c r="K15" s="143">
        <f t="shared" si="0"/>
        <v>6.9670395951914307E-2</v>
      </c>
      <c r="L15" s="143">
        <f>H15/H11</f>
        <v>0.2043829716015772</v>
      </c>
      <c r="M15" s="142">
        <v>5431</v>
      </c>
      <c r="N15" s="142">
        <v>15556</v>
      </c>
      <c r="O15" s="142">
        <v>27394</v>
      </c>
      <c r="P15" s="142">
        <v>31934</v>
      </c>
      <c r="Q15" s="142">
        <v>31663</v>
      </c>
      <c r="R15" s="142">
        <v>31006</v>
      </c>
      <c r="S15" s="143">
        <f t="shared" si="4"/>
        <v>-2.0749771026118857E-2</v>
      </c>
      <c r="T15" s="142">
        <f t="shared" si="1"/>
        <v>-657</v>
      </c>
      <c r="U15" s="143">
        <f t="shared" si="5"/>
        <v>7.3513060573343864E-2</v>
      </c>
      <c r="V15" s="143">
        <f>IFERROR(R15/R11,"-")</f>
        <v>0.1997538992790924</v>
      </c>
    </row>
    <row r="16" spans="1:22" ht="15.75" x14ac:dyDescent="0.25">
      <c r="A16" s="81"/>
      <c r="B16" s="134" t="s">
        <v>48</v>
      </c>
      <c r="C16" s="135">
        <v>353830</v>
      </c>
      <c r="D16" s="135">
        <v>492258</v>
      </c>
      <c r="E16" s="135">
        <v>1243535</v>
      </c>
      <c r="F16" s="135">
        <v>1320376</v>
      </c>
      <c r="G16" s="135">
        <v>1387795</v>
      </c>
      <c r="H16" s="135">
        <v>1421549</v>
      </c>
      <c r="I16" s="136">
        <f t="shared" si="2"/>
        <v>2.4322036035581585E-2</v>
      </c>
      <c r="J16" s="135">
        <f t="shared" si="3"/>
        <v>33754</v>
      </c>
      <c r="K16" s="136">
        <f t="shared" si="0"/>
        <v>0.26077400707505116</v>
      </c>
      <c r="L16" s="137">
        <f>H16/H16</f>
        <v>1</v>
      </c>
      <c r="M16" s="135">
        <v>17398</v>
      </c>
      <c r="N16" s="135">
        <v>78855</v>
      </c>
      <c r="O16" s="135">
        <v>108917</v>
      </c>
      <c r="P16" s="135">
        <v>111619</v>
      </c>
      <c r="Q16" s="135">
        <v>115450</v>
      </c>
      <c r="R16" s="135">
        <v>110730</v>
      </c>
      <c r="S16" s="136">
        <f t="shared" si="4"/>
        <v>-4.0883499350368169E-2</v>
      </c>
      <c r="T16" s="135">
        <f t="shared" si="1"/>
        <v>-4720</v>
      </c>
      <c r="U16" s="136">
        <f t="shared" si="5"/>
        <v>0.25695040734439994</v>
      </c>
      <c r="V16" s="137">
        <f>IFERROR(R16/R16,"-")</f>
        <v>1</v>
      </c>
    </row>
    <row r="17" spans="2:22" ht="15.75" x14ac:dyDescent="0.25">
      <c r="B17" s="138" t="s">
        <v>63</v>
      </c>
      <c r="C17" s="139">
        <v>195507</v>
      </c>
      <c r="D17" s="139">
        <v>256749</v>
      </c>
      <c r="E17" s="139">
        <v>752557</v>
      </c>
      <c r="F17" s="139">
        <v>810911</v>
      </c>
      <c r="G17" s="139">
        <v>861439</v>
      </c>
      <c r="H17" s="139">
        <v>876767</v>
      </c>
      <c r="I17" s="140">
        <f t="shared" si="2"/>
        <v>1.7793482765465773E-2</v>
      </c>
      <c r="J17" s="139">
        <f t="shared" si="3"/>
        <v>15328</v>
      </c>
      <c r="K17" s="140">
        <f t="shared" si="0"/>
        <v>0.1608372584140057</v>
      </c>
      <c r="L17" s="140">
        <f>H17/H16</f>
        <v>0.61676875014508825</v>
      </c>
      <c r="M17" s="139">
        <v>8227</v>
      </c>
      <c r="N17" s="139">
        <v>45371</v>
      </c>
      <c r="O17" s="139">
        <v>68554</v>
      </c>
      <c r="P17" s="139">
        <v>67674</v>
      </c>
      <c r="Q17" s="139">
        <v>71887</v>
      </c>
      <c r="R17" s="139">
        <v>66314</v>
      </c>
      <c r="S17" s="140">
        <f t="shared" si="4"/>
        <v>-7.7524448092144649E-2</v>
      </c>
      <c r="T17" s="139">
        <f t="shared" si="1"/>
        <v>-5573</v>
      </c>
      <c r="U17" s="140">
        <f t="shared" si="5"/>
        <v>0.15578765144486981</v>
      </c>
      <c r="V17" s="140">
        <f>IFERROR(R17/R16,"-")</f>
        <v>0.59888015894518198</v>
      </c>
    </row>
    <row r="18" spans="2:22" x14ac:dyDescent="0.25">
      <c r="B18" s="99" t="s">
        <v>143</v>
      </c>
      <c r="C18" s="54">
        <v>144560</v>
      </c>
      <c r="D18" s="54">
        <v>206077</v>
      </c>
      <c r="E18" s="54">
        <v>573367</v>
      </c>
      <c r="F18" s="54">
        <v>609879</v>
      </c>
      <c r="G18" s="54">
        <v>651234</v>
      </c>
      <c r="H18" s="54">
        <v>686791</v>
      </c>
      <c r="I18" s="100">
        <f t="shared" si="2"/>
        <v>5.4599422020348953E-2</v>
      </c>
      <c r="J18" s="54">
        <f t="shared" si="3"/>
        <v>35557</v>
      </c>
      <c r="K18" s="100">
        <f t="shared" si="0"/>
        <v>0.12598738495337231</v>
      </c>
      <c r="L18" s="100">
        <f>H18/H16</f>
        <v>0.48312861533439933</v>
      </c>
      <c r="M18" s="54">
        <v>6600</v>
      </c>
      <c r="N18" s="54">
        <v>35773</v>
      </c>
      <c r="O18" s="54">
        <v>52615</v>
      </c>
      <c r="P18" s="54">
        <v>51027</v>
      </c>
      <c r="Q18" s="54">
        <v>53638</v>
      </c>
      <c r="R18" s="54">
        <v>50741</v>
      </c>
      <c r="S18" s="100">
        <f t="shared" si="4"/>
        <v>-5.401021663745853E-2</v>
      </c>
      <c r="T18" s="54">
        <f t="shared" si="1"/>
        <v>-2897</v>
      </c>
      <c r="U18" s="100">
        <f t="shared" si="5"/>
        <v>0.11746574002242179</v>
      </c>
      <c r="V18" s="100">
        <f>IFERROR(R18/R16,"-")</f>
        <v>0.45824076582678586</v>
      </c>
    </row>
    <row r="19" spans="2:22" x14ac:dyDescent="0.25">
      <c r="B19" s="99" t="s">
        <v>145</v>
      </c>
      <c r="C19" s="54">
        <v>50947</v>
      </c>
      <c r="D19" s="54">
        <v>50672</v>
      </c>
      <c r="E19" s="54">
        <v>179190</v>
      </c>
      <c r="F19" s="54">
        <v>201032</v>
      </c>
      <c r="G19" s="54">
        <v>210205</v>
      </c>
      <c r="H19" s="54">
        <v>189976</v>
      </c>
      <c r="I19" s="100">
        <f t="shared" si="2"/>
        <v>-9.6234628101139363E-2</v>
      </c>
      <c r="J19" s="54">
        <f t="shared" si="3"/>
        <v>-20229</v>
      </c>
      <c r="K19" s="100">
        <f t="shared" si="0"/>
        <v>3.4849873460633382E-2</v>
      </c>
      <c r="L19" s="100">
        <f>H19/H16</f>
        <v>0.1336401348106889</v>
      </c>
      <c r="M19" s="54">
        <v>1627</v>
      </c>
      <c r="N19" s="54">
        <v>9598</v>
      </c>
      <c r="O19" s="54">
        <v>15939</v>
      </c>
      <c r="P19" s="54">
        <v>16647</v>
      </c>
      <c r="Q19" s="54">
        <v>18249</v>
      </c>
      <c r="R19" s="54">
        <v>15573</v>
      </c>
      <c r="S19" s="100">
        <f t="shared" si="4"/>
        <v>-0.14663817195462769</v>
      </c>
      <c r="T19" s="54">
        <f t="shared" si="1"/>
        <v>-2676</v>
      </c>
      <c r="U19" s="100">
        <f t="shared" si="5"/>
        <v>3.8321911422448028E-2</v>
      </c>
      <c r="V19" s="100">
        <f>IFERROR(R19/R16,"-")</f>
        <v>0.1406393931183961</v>
      </c>
    </row>
    <row r="20" spans="2:22" ht="16.5" thickBot="1" x14ac:dyDescent="0.3">
      <c r="B20" s="141" t="s">
        <v>66</v>
      </c>
      <c r="C20" s="142">
        <v>158323</v>
      </c>
      <c r="D20" s="142">
        <v>235509</v>
      </c>
      <c r="E20" s="142">
        <v>490978</v>
      </c>
      <c r="F20" s="142">
        <v>509465</v>
      </c>
      <c r="G20" s="142">
        <v>526356</v>
      </c>
      <c r="H20" s="142">
        <v>544782</v>
      </c>
      <c r="I20" s="143">
        <f t="shared" si="2"/>
        <v>3.5006725486172785E-2</v>
      </c>
      <c r="J20" s="142">
        <f t="shared" si="3"/>
        <v>18426</v>
      </c>
      <c r="K20" s="143">
        <f t="shared" si="0"/>
        <v>9.993674866104546E-2</v>
      </c>
      <c r="L20" s="143">
        <f>H20/H16</f>
        <v>0.3832312498549118</v>
      </c>
      <c r="M20" s="142">
        <v>9171</v>
      </c>
      <c r="N20" s="142">
        <v>33484</v>
      </c>
      <c r="O20" s="142">
        <v>40363</v>
      </c>
      <c r="P20" s="142">
        <v>43945</v>
      </c>
      <c r="Q20" s="142">
        <v>43563</v>
      </c>
      <c r="R20" s="142">
        <v>44416</v>
      </c>
      <c r="S20" s="143">
        <f t="shared" si="4"/>
        <v>1.9580836948786873E-2</v>
      </c>
      <c r="T20" s="142">
        <f t="shared" si="1"/>
        <v>853</v>
      </c>
      <c r="U20" s="143">
        <f t="shared" si="5"/>
        <v>0.10116275589953015</v>
      </c>
      <c r="V20" s="143">
        <f>IFERROR(R20/R16,"-")</f>
        <v>0.40111984105481802</v>
      </c>
    </row>
    <row r="21" spans="2:22" ht="15.75" x14ac:dyDescent="0.25">
      <c r="B21" s="134" t="s">
        <v>49</v>
      </c>
      <c r="C21" s="135">
        <v>12549</v>
      </c>
      <c r="D21" s="135">
        <v>20161</v>
      </c>
      <c r="E21" s="135">
        <v>37751</v>
      </c>
      <c r="F21" s="135">
        <v>51211</v>
      </c>
      <c r="G21" s="135">
        <v>45051</v>
      </c>
      <c r="H21" s="135">
        <v>44435</v>
      </c>
      <c r="I21" s="136">
        <f t="shared" si="2"/>
        <v>-1.3673392377527738E-2</v>
      </c>
      <c r="J21" s="135">
        <f t="shared" si="3"/>
        <v>-616</v>
      </c>
      <c r="K21" s="136">
        <f t="shared" si="0"/>
        <v>8.1513145198511619E-3</v>
      </c>
      <c r="L21" s="137">
        <f>H21/H21</f>
        <v>1</v>
      </c>
      <c r="M21" s="135">
        <v>469</v>
      </c>
      <c r="N21" s="135">
        <v>2479</v>
      </c>
      <c r="O21" s="135">
        <v>4675</v>
      </c>
      <c r="P21" s="135">
        <v>5492</v>
      </c>
      <c r="Q21" s="135">
        <v>4480</v>
      </c>
      <c r="R21" s="135">
        <v>3504</v>
      </c>
      <c r="S21" s="136">
        <f t="shared" si="4"/>
        <v>-0.21785714285714286</v>
      </c>
      <c r="T21" s="135">
        <f t="shared" si="1"/>
        <v>-976</v>
      </c>
      <c r="U21" s="136">
        <f t="shared" si="5"/>
        <v>1.2642754702473993E-2</v>
      </c>
      <c r="V21" s="137">
        <f>IFERROR(R21/R21,"-")</f>
        <v>1</v>
      </c>
    </row>
    <row r="22" spans="2:22" ht="15.75" x14ac:dyDescent="0.25">
      <c r="B22" s="138" t="s">
        <v>63</v>
      </c>
      <c r="C22" s="139">
        <v>10671</v>
      </c>
      <c r="D22" s="139">
        <v>20161</v>
      </c>
      <c r="E22" s="139">
        <v>37638</v>
      </c>
      <c r="F22" s="139">
        <v>50566</v>
      </c>
      <c r="G22" s="139">
        <v>44389</v>
      </c>
      <c r="H22" s="139">
        <v>43817</v>
      </c>
      <c r="I22" s="140">
        <f t="shared" si="2"/>
        <v>-1.28860753790353E-2</v>
      </c>
      <c r="J22" s="139">
        <f t="shared" si="3"/>
        <v>-572</v>
      </c>
      <c r="K22" s="140">
        <f t="shared" si="0"/>
        <v>8.0379464007273166E-3</v>
      </c>
      <c r="L22" s="140">
        <f>H22/H21</f>
        <v>0.98609204455946886</v>
      </c>
      <c r="M22" s="139">
        <v>469</v>
      </c>
      <c r="N22" s="139">
        <v>2479</v>
      </c>
      <c r="O22" s="139">
        <v>4607</v>
      </c>
      <c r="P22" s="139">
        <v>5428</v>
      </c>
      <c r="Q22" s="139">
        <v>4419</v>
      </c>
      <c r="R22" s="139">
        <v>3445</v>
      </c>
      <c r="S22" s="140">
        <f t="shared" si="4"/>
        <v>-0.22041185788639961</v>
      </c>
      <c r="T22" s="139">
        <f t="shared" si="1"/>
        <v>-974</v>
      </c>
      <c r="U22" s="140">
        <f t="shared" si="5"/>
        <v>1.2495424713224478E-2</v>
      </c>
      <c r="V22" s="140">
        <f>IFERROR(R22/R21,"-")</f>
        <v>0.983162100456621</v>
      </c>
    </row>
    <row r="23" spans="2:22" x14ac:dyDescent="0.25">
      <c r="B23" s="99" t="s">
        <v>143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100" t="str">
        <f t="shared" si="2"/>
        <v>-</v>
      </c>
      <c r="J23" s="54">
        <f t="shared" si="3"/>
        <v>0</v>
      </c>
      <c r="K23" s="100">
        <f t="shared" si="0"/>
        <v>0</v>
      </c>
      <c r="L23" s="100">
        <f>H23/H21</f>
        <v>0</v>
      </c>
      <c r="M23" s="54">
        <v>0</v>
      </c>
      <c r="N23" s="54">
        <v>0</v>
      </c>
      <c r="O23" s="54">
        <v>0</v>
      </c>
      <c r="P23" s="54">
        <v>0</v>
      </c>
      <c r="Q23" s="54">
        <v>0</v>
      </c>
      <c r="R23" s="54">
        <v>0</v>
      </c>
      <c r="S23" s="100" t="str">
        <f t="shared" si="4"/>
        <v>-</v>
      </c>
      <c r="T23" s="54">
        <f t="shared" si="1"/>
        <v>0</v>
      </c>
      <c r="U23" s="100">
        <f t="shared" si="5"/>
        <v>0</v>
      </c>
      <c r="V23" s="100">
        <f>IFERROR(R23/R21,"-")</f>
        <v>0</v>
      </c>
    </row>
    <row r="24" spans="2:22" x14ac:dyDescent="0.25">
      <c r="B24" s="99" t="s">
        <v>145</v>
      </c>
      <c r="C24" s="54">
        <v>2479</v>
      </c>
      <c r="D24" s="54">
        <v>3463</v>
      </c>
      <c r="E24" s="54">
        <v>0</v>
      </c>
      <c r="F24" s="54">
        <v>0</v>
      </c>
      <c r="G24" s="54">
        <v>0</v>
      </c>
      <c r="H24" s="54">
        <v>0</v>
      </c>
      <c r="I24" s="100" t="str">
        <f t="shared" si="2"/>
        <v>-</v>
      </c>
      <c r="J24" s="54">
        <f t="shared" si="3"/>
        <v>0</v>
      </c>
      <c r="K24" s="100">
        <f t="shared" si="0"/>
        <v>0</v>
      </c>
      <c r="L24" s="100">
        <f>H24/H21</f>
        <v>0</v>
      </c>
      <c r="M24" s="54">
        <v>469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100" t="str">
        <f t="shared" si="4"/>
        <v>-</v>
      </c>
      <c r="T24" s="54">
        <f t="shared" si="1"/>
        <v>0</v>
      </c>
      <c r="U24" s="100">
        <f t="shared" si="5"/>
        <v>0</v>
      </c>
      <c r="V24" s="100">
        <f>IFERROR(R24/R21,"-")</f>
        <v>0</v>
      </c>
    </row>
    <row r="25" spans="2:22" ht="16.5" thickBot="1" x14ac:dyDescent="0.3">
      <c r="B25" s="141" t="s">
        <v>12</v>
      </c>
      <c r="C25" s="142">
        <v>1878</v>
      </c>
      <c r="D25" s="142">
        <v>0</v>
      </c>
      <c r="E25" s="142">
        <v>0</v>
      </c>
      <c r="F25" s="142">
        <v>0</v>
      </c>
      <c r="G25" s="142">
        <v>0</v>
      </c>
      <c r="H25" s="142">
        <v>0</v>
      </c>
      <c r="I25" s="143" t="str">
        <f t="shared" si="2"/>
        <v>-</v>
      </c>
      <c r="J25" s="142">
        <f t="shared" si="3"/>
        <v>0</v>
      </c>
      <c r="K25" s="143">
        <f t="shared" si="0"/>
        <v>0</v>
      </c>
      <c r="L25" s="143">
        <f>H25/H21</f>
        <v>0</v>
      </c>
      <c r="M25" s="142">
        <v>0</v>
      </c>
      <c r="N25" s="142">
        <v>0</v>
      </c>
      <c r="O25" s="142">
        <v>0</v>
      </c>
      <c r="P25" s="142">
        <v>0</v>
      </c>
      <c r="Q25" s="142">
        <v>0</v>
      </c>
      <c r="R25" s="142">
        <v>0</v>
      </c>
      <c r="S25" s="143" t="str">
        <f t="shared" si="4"/>
        <v>-</v>
      </c>
      <c r="T25" s="142">
        <f t="shared" si="1"/>
        <v>0</v>
      </c>
      <c r="U25" s="143">
        <f t="shared" si="5"/>
        <v>0</v>
      </c>
      <c r="V25" s="143">
        <f>IFERROR(R25/R21,"-")</f>
        <v>0</v>
      </c>
    </row>
    <row r="26" spans="2:22" ht="15.75" x14ac:dyDescent="0.25">
      <c r="B26" s="134" t="s">
        <v>50</v>
      </c>
      <c r="C26" s="135">
        <v>52633</v>
      </c>
      <c r="D26" s="135">
        <v>70304</v>
      </c>
      <c r="E26" s="135">
        <v>161080</v>
      </c>
      <c r="F26" s="135">
        <v>173648</v>
      </c>
      <c r="G26" s="135">
        <v>231856</v>
      </c>
      <c r="H26" s="135">
        <v>188676</v>
      </c>
      <c r="I26" s="136">
        <f t="shared" si="2"/>
        <v>-0.1862362845904354</v>
      </c>
      <c r="J26" s="135">
        <f t="shared" si="3"/>
        <v>-43180</v>
      </c>
      <c r="K26" s="136">
        <f t="shared" si="0"/>
        <v>3.461139683464471E-2</v>
      </c>
      <c r="L26" s="137">
        <f>H26/H26</f>
        <v>1</v>
      </c>
      <c r="M26" s="135">
        <v>8154</v>
      </c>
      <c r="N26" s="135">
        <v>9493</v>
      </c>
      <c r="O26" s="135">
        <v>14121</v>
      </c>
      <c r="P26" s="135">
        <v>12492</v>
      </c>
      <c r="Q26" s="135">
        <v>15575</v>
      </c>
      <c r="R26" s="135">
        <v>15082</v>
      </c>
      <c r="S26" s="136">
        <f t="shared" si="4"/>
        <v>-3.1653290529695011E-2</v>
      </c>
      <c r="T26" s="135">
        <f t="shared" si="1"/>
        <v>-493</v>
      </c>
      <c r="U26" s="136">
        <f t="shared" si="5"/>
        <v>2.8756972276639679E-2</v>
      </c>
      <c r="V26" s="137">
        <f>IFERROR(R26/R26,"-")</f>
        <v>1</v>
      </c>
    </row>
    <row r="27" spans="2:22" ht="15.75" x14ac:dyDescent="0.25">
      <c r="B27" s="138" t="s">
        <v>63</v>
      </c>
      <c r="C27" s="139">
        <v>51640</v>
      </c>
      <c r="D27" s="139">
        <v>62020</v>
      </c>
      <c r="E27" s="139">
        <v>151473</v>
      </c>
      <c r="F27" s="139">
        <v>164769</v>
      </c>
      <c r="G27" s="139">
        <v>191595</v>
      </c>
      <c r="H27" s="139">
        <v>151475</v>
      </c>
      <c r="I27" s="140">
        <f t="shared" si="2"/>
        <v>-0.20940003653540018</v>
      </c>
      <c r="J27" s="139">
        <f t="shared" si="3"/>
        <v>-40120</v>
      </c>
      <c r="K27" s="140">
        <f t="shared" si="0"/>
        <v>2.7787113016641267E-2</v>
      </c>
      <c r="L27" s="140">
        <f>H27/H26</f>
        <v>0.8028313086985096</v>
      </c>
      <c r="M27" s="139">
        <v>8080</v>
      </c>
      <c r="N27" s="139">
        <v>7535</v>
      </c>
      <c r="O27" s="139">
        <v>13354</v>
      </c>
      <c r="P27" s="139">
        <v>11656</v>
      </c>
      <c r="Q27" s="139">
        <v>12150</v>
      </c>
      <c r="R27" s="139">
        <v>12233</v>
      </c>
      <c r="S27" s="140">
        <f t="shared" si="4"/>
        <v>6.8312757201645091E-3</v>
      </c>
      <c r="T27" s="139">
        <f t="shared" si="1"/>
        <v>83</v>
      </c>
      <c r="U27" s="140">
        <f t="shared" si="5"/>
        <v>2.6832474292067893E-2</v>
      </c>
      <c r="V27" s="140">
        <f>IFERROR(R27/R26,"-")</f>
        <v>0.81109932369712234</v>
      </c>
    </row>
    <row r="28" spans="2:22" x14ac:dyDescent="0.25">
      <c r="B28" s="99" t="s">
        <v>143</v>
      </c>
      <c r="C28" s="54">
        <v>38963</v>
      </c>
      <c r="D28" s="54">
        <v>44291</v>
      </c>
      <c r="E28" s="54">
        <v>0</v>
      </c>
      <c r="F28" s="54">
        <v>85182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 t="shared" si="0"/>
        <v>0</v>
      </c>
      <c r="L28" s="100">
        <f>H28/H26</f>
        <v>0</v>
      </c>
      <c r="M28" s="54">
        <v>8080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100" t="str">
        <f t="shared" si="4"/>
        <v>-</v>
      </c>
      <c r="T28" s="54">
        <f t="shared" si="1"/>
        <v>0</v>
      </c>
      <c r="U28" s="100">
        <f t="shared" si="5"/>
        <v>0</v>
      </c>
      <c r="V28" s="100">
        <f>IFERROR(R28/R26,"-")</f>
        <v>0</v>
      </c>
    </row>
    <row r="29" spans="2:22" ht="15.75" thickBot="1" x14ac:dyDescent="0.3">
      <c r="B29" s="99" t="s">
        <v>145</v>
      </c>
      <c r="C29" s="54">
        <v>1940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100" t="str">
        <f t="shared" si="2"/>
        <v>-</v>
      </c>
      <c r="J29" s="54">
        <f t="shared" si="3"/>
        <v>0</v>
      </c>
      <c r="K29" s="100">
        <f t="shared" si="0"/>
        <v>0</v>
      </c>
      <c r="L29" s="100">
        <f>H29/H26</f>
        <v>0</v>
      </c>
      <c r="M29" s="54">
        <v>0</v>
      </c>
      <c r="N29" s="54">
        <v>0</v>
      </c>
      <c r="O29" s="54">
        <v>0</v>
      </c>
      <c r="P29" s="54">
        <v>0</v>
      </c>
      <c r="Q29" s="54">
        <v>0</v>
      </c>
      <c r="R29" s="54">
        <v>0</v>
      </c>
      <c r="S29" s="100" t="str">
        <f t="shared" si="4"/>
        <v>-</v>
      </c>
      <c r="T29" s="54">
        <f t="shared" si="1"/>
        <v>0</v>
      </c>
      <c r="U29" s="100">
        <f t="shared" si="5"/>
        <v>0</v>
      </c>
      <c r="V29" s="100">
        <f>IFERROR(R29/R26,"-")</f>
        <v>0</v>
      </c>
    </row>
    <row r="30" spans="2:22" ht="15.75" x14ac:dyDescent="0.25">
      <c r="B30" s="134" t="s">
        <v>51</v>
      </c>
      <c r="C30" s="135">
        <v>211451</v>
      </c>
      <c r="D30" s="135">
        <v>354204</v>
      </c>
      <c r="E30" s="135">
        <v>710225</v>
      </c>
      <c r="F30" s="135">
        <v>800263</v>
      </c>
      <c r="G30" s="135">
        <v>915958</v>
      </c>
      <c r="H30" s="135">
        <v>937396</v>
      </c>
      <c r="I30" s="136">
        <f t="shared" si="2"/>
        <v>2.3405003286176784E-2</v>
      </c>
      <c r="J30" s="135">
        <f t="shared" si="3"/>
        <v>21438</v>
      </c>
      <c r="K30" s="136">
        <f t="shared" si="0"/>
        <v>0.17195925791944186</v>
      </c>
      <c r="L30" s="137">
        <f>H30/H30</f>
        <v>1</v>
      </c>
      <c r="M30" s="135">
        <v>8912</v>
      </c>
      <c r="N30" s="135">
        <v>44151</v>
      </c>
      <c r="O30" s="135">
        <v>61100</v>
      </c>
      <c r="P30" s="135">
        <v>62539</v>
      </c>
      <c r="Q30" s="135">
        <v>67921</v>
      </c>
      <c r="R30" s="135">
        <v>70034</v>
      </c>
      <c r="S30" s="136">
        <f t="shared" si="4"/>
        <v>3.1109671530159977E-2</v>
      </c>
      <c r="T30" s="135">
        <f t="shared" si="1"/>
        <v>2113</v>
      </c>
      <c r="U30" s="136">
        <f t="shared" si="5"/>
        <v>0.14396672183867826</v>
      </c>
      <c r="V30" s="137">
        <f>IFERROR(R30/R30,"-")</f>
        <v>1</v>
      </c>
    </row>
    <row r="31" spans="2:22" ht="15.75" x14ac:dyDescent="0.25">
      <c r="B31" s="138" t="s">
        <v>63</v>
      </c>
      <c r="C31" s="139">
        <v>167932</v>
      </c>
      <c r="D31" s="139">
        <v>285256</v>
      </c>
      <c r="E31" s="139">
        <v>574800</v>
      </c>
      <c r="F31" s="139">
        <v>655063</v>
      </c>
      <c r="G31" s="139">
        <v>742545</v>
      </c>
      <c r="H31" s="139">
        <v>747127</v>
      </c>
      <c r="I31" s="140">
        <f t="shared" si="2"/>
        <v>6.1706697910564046E-3</v>
      </c>
      <c r="J31" s="139">
        <f t="shared" si="3"/>
        <v>4582</v>
      </c>
      <c r="K31" s="140">
        <f t="shared" si="0"/>
        <v>0.1370556354961818</v>
      </c>
      <c r="L31" s="140">
        <f>H31/H30</f>
        <v>0.7970238831827744</v>
      </c>
      <c r="M31" s="139">
        <v>5448</v>
      </c>
      <c r="N31" s="139">
        <v>35179</v>
      </c>
      <c r="O31" s="139">
        <v>50108</v>
      </c>
      <c r="P31" s="139">
        <v>50998</v>
      </c>
      <c r="Q31" s="139">
        <v>56389</v>
      </c>
      <c r="R31" s="139">
        <v>57188</v>
      </c>
      <c r="S31" s="140">
        <f t="shared" si="4"/>
        <v>1.4169430208019307E-2</v>
      </c>
      <c r="T31" s="139">
        <f t="shared" si="1"/>
        <v>799</v>
      </c>
      <c r="U31" s="140">
        <f t="shared" si="5"/>
        <v>0.11739898112104309</v>
      </c>
      <c r="V31" s="140">
        <f>IFERROR(R31/R30,"-")</f>
        <v>0.81657480652254621</v>
      </c>
    </row>
    <row r="32" spans="2:22" x14ac:dyDescent="0.25">
      <c r="B32" s="99" t="s">
        <v>143</v>
      </c>
      <c r="C32" s="54">
        <v>135144</v>
      </c>
      <c r="D32" s="54">
        <v>214429</v>
      </c>
      <c r="E32" s="54">
        <v>476344</v>
      </c>
      <c r="F32" s="54">
        <v>550170</v>
      </c>
      <c r="G32" s="54">
        <v>623703</v>
      </c>
      <c r="H32" s="54">
        <v>619427</v>
      </c>
      <c r="I32" s="100">
        <f t="shared" si="2"/>
        <v>-6.8558272126316711E-3</v>
      </c>
      <c r="J32" s="54">
        <f t="shared" si="3"/>
        <v>-4276</v>
      </c>
      <c r="K32" s="100">
        <f t="shared" si="0"/>
        <v>0.11362989308175639</v>
      </c>
      <c r="L32" s="100">
        <f>H32/H30</f>
        <v>0.66079543757387482</v>
      </c>
      <c r="M32" s="54">
        <v>3713</v>
      </c>
      <c r="N32" s="54">
        <v>27340</v>
      </c>
      <c r="O32" s="54">
        <v>42758</v>
      </c>
      <c r="P32" s="54">
        <v>42526</v>
      </c>
      <c r="Q32" s="54">
        <v>47307</v>
      </c>
      <c r="R32" s="54">
        <v>47553</v>
      </c>
      <c r="S32" s="100">
        <f t="shared" si="4"/>
        <v>5.2000760986745664E-3</v>
      </c>
      <c r="T32" s="54">
        <f t="shared" si="1"/>
        <v>246</v>
      </c>
      <c r="U32" s="100">
        <f t="shared" si="5"/>
        <v>9.7896173794138563E-2</v>
      </c>
      <c r="V32" s="100">
        <f>IFERROR(R32/R30,"-")</f>
        <v>0.67899877202501646</v>
      </c>
    </row>
    <row r="33" spans="2:22" x14ac:dyDescent="0.25">
      <c r="B33" s="99" t="s">
        <v>145</v>
      </c>
      <c r="C33" s="54">
        <v>32788</v>
      </c>
      <c r="D33" s="54">
        <v>70827</v>
      </c>
      <c r="E33" s="54">
        <v>98456</v>
      </c>
      <c r="F33" s="54">
        <v>104893</v>
      </c>
      <c r="G33" s="54">
        <v>118842</v>
      </c>
      <c r="H33" s="54">
        <v>127700</v>
      </c>
      <c r="I33" s="100">
        <f t="shared" si="2"/>
        <v>7.4535938472930496E-2</v>
      </c>
      <c r="J33" s="54">
        <f t="shared" si="3"/>
        <v>8858</v>
      </c>
      <c r="K33" s="100">
        <f t="shared" si="0"/>
        <v>2.3425742414425414E-2</v>
      </c>
      <c r="L33" s="100">
        <f>H33/H30</f>
        <v>0.13622844560889955</v>
      </c>
      <c r="M33" s="54">
        <v>1735</v>
      </c>
      <c r="N33" s="54">
        <v>7839</v>
      </c>
      <c r="O33" s="54">
        <v>7350</v>
      </c>
      <c r="P33" s="54">
        <v>8472</v>
      </c>
      <c r="Q33" s="54">
        <v>9082</v>
      </c>
      <c r="R33" s="54">
        <v>9635</v>
      </c>
      <c r="S33" s="100">
        <f t="shared" si="4"/>
        <v>6.0889671878440854E-2</v>
      </c>
      <c r="T33" s="54">
        <f t="shared" si="1"/>
        <v>553</v>
      </c>
      <c r="U33" s="100">
        <f t="shared" si="5"/>
        <v>1.9502807326904528E-2</v>
      </c>
      <c r="V33" s="100">
        <f>IFERROR(R33/R30,"-")</f>
        <v>0.13757603449752978</v>
      </c>
    </row>
    <row r="34" spans="2:22" ht="16.5" thickBot="1" x14ac:dyDescent="0.3">
      <c r="B34" s="141" t="s">
        <v>66</v>
      </c>
      <c r="C34" s="142">
        <v>43519</v>
      </c>
      <c r="D34" s="142">
        <v>68948</v>
      </c>
      <c r="E34" s="142">
        <v>135425</v>
      </c>
      <c r="F34" s="142">
        <v>145200</v>
      </c>
      <c r="G34" s="142">
        <v>173413</v>
      </c>
      <c r="H34" s="142">
        <v>190269</v>
      </c>
      <c r="I34" s="143">
        <f t="shared" si="2"/>
        <v>9.7201478551204312E-2</v>
      </c>
      <c r="J34" s="142">
        <f t="shared" si="3"/>
        <v>16856</v>
      </c>
      <c r="K34" s="143">
        <f t="shared" si="0"/>
        <v>3.4903622423260054E-2</v>
      </c>
      <c r="L34" s="143">
        <f>H34/H30</f>
        <v>0.2029761168172256</v>
      </c>
      <c r="M34" s="142">
        <v>3464</v>
      </c>
      <c r="N34" s="142">
        <v>8972</v>
      </c>
      <c r="O34" s="142">
        <v>10992</v>
      </c>
      <c r="P34" s="142">
        <v>11541</v>
      </c>
      <c r="Q34" s="142">
        <v>11532</v>
      </c>
      <c r="R34" s="142">
        <v>12846</v>
      </c>
      <c r="S34" s="143">
        <f t="shared" si="4"/>
        <v>0.11394380853277841</v>
      </c>
      <c r="T34" s="142">
        <f t="shared" si="1"/>
        <v>1314</v>
      </c>
      <c r="U34" s="143">
        <f t="shared" si="5"/>
        <v>2.6567740717635169E-2</v>
      </c>
      <c r="V34" s="143">
        <f>IFERROR(R34/R30,"-")</f>
        <v>0.18342519347745381</v>
      </c>
    </row>
    <row r="35" spans="2:22" ht="15.75" x14ac:dyDescent="0.25">
      <c r="B35" s="134" t="s">
        <v>52</v>
      </c>
      <c r="C35" s="135">
        <v>22616</v>
      </c>
      <c r="D35" s="135">
        <v>33444</v>
      </c>
      <c r="E35" s="135">
        <v>51485</v>
      </c>
      <c r="F35" s="135">
        <v>58157</v>
      </c>
      <c r="G35" s="135">
        <v>57388</v>
      </c>
      <c r="H35" s="135">
        <v>56585</v>
      </c>
      <c r="I35" s="136">
        <f t="shared" si="2"/>
        <v>-1.3992472293859359E-2</v>
      </c>
      <c r="J35" s="135">
        <f t="shared" si="3"/>
        <v>-803</v>
      </c>
      <c r="K35" s="136">
        <f t="shared" si="0"/>
        <v>1.0380153755052952E-2</v>
      </c>
      <c r="L35" s="137">
        <f>H35/H35</f>
        <v>1</v>
      </c>
      <c r="M35" s="135">
        <v>1794</v>
      </c>
      <c r="N35" s="135">
        <v>4543</v>
      </c>
      <c r="O35" s="135">
        <v>5166</v>
      </c>
      <c r="P35" s="135">
        <v>4585</v>
      </c>
      <c r="Q35" s="135">
        <v>5228</v>
      </c>
      <c r="R35" s="135">
        <v>5221</v>
      </c>
      <c r="S35" s="136">
        <f t="shared" si="4"/>
        <v>-1.3389441469012775E-3</v>
      </c>
      <c r="T35" s="135">
        <f t="shared" si="1"/>
        <v>-7</v>
      </c>
      <c r="U35" s="136">
        <f t="shared" si="5"/>
        <v>1.0554812511078525E-2</v>
      </c>
      <c r="V35" s="137">
        <f>IFERROR(R35/R35,"-")</f>
        <v>1</v>
      </c>
    </row>
    <row r="36" spans="2:22" ht="15.75" x14ac:dyDescent="0.25">
      <c r="B36" s="138" t="s">
        <v>63</v>
      </c>
      <c r="C36" s="139">
        <v>22616</v>
      </c>
      <c r="D36" s="139">
        <v>33444</v>
      </c>
      <c r="E36" s="139">
        <v>51485</v>
      </c>
      <c r="F36" s="139">
        <v>58157</v>
      </c>
      <c r="G36" s="139">
        <v>57388</v>
      </c>
      <c r="H36" s="139">
        <v>56585</v>
      </c>
      <c r="I36" s="140">
        <f t="shared" si="2"/>
        <v>-1.3992472293859359E-2</v>
      </c>
      <c r="J36" s="139">
        <f t="shared" si="3"/>
        <v>-803</v>
      </c>
      <c r="K36" s="140">
        <f t="shared" si="0"/>
        <v>1.0380153755052952E-2</v>
      </c>
      <c r="L36" s="140">
        <f>H36/H35</f>
        <v>1</v>
      </c>
      <c r="M36" s="139">
        <v>1794</v>
      </c>
      <c r="N36" s="139">
        <v>4543</v>
      </c>
      <c r="O36" s="139">
        <v>5166</v>
      </c>
      <c r="P36" s="139">
        <v>4585</v>
      </c>
      <c r="Q36" s="139">
        <v>5228</v>
      </c>
      <c r="R36" s="139">
        <v>5221</v>
      </c>
      <c r="S36" s="140">
        <f t="shared" si="4"/>
        <v>-1.3389441469012775E-3</v>
      </c>
      <c r="T36" s="139">
        <f t="shared" si="1"/>
        <v>-7</v>
      </c>
      <c r="U36" s="140">
        <f t="shared" si="5"/>
        <v>1.0554812511078525E-2</v>
      </c>
      <c r="V36" s="140">
        <f>IFERROR(R36/R35,"-")</f>
        <v>1</v>
      </c>
    </row>
    <row r="37" spans="2:22" x14ac:dyDescent="0.25">
      <c r="B37" s="99" t="s">
        <v>143</v>
      </c>
      <c r="C37" s="54">
        <v>8693</v>
      </c>
      <c r="D37" s="54">
        <v>0</v>
      </c>
      <c r="E37" s="54">
        <v>34275</v>
      </c>
      <c r="F37" s="54">
        <v>46157</v>
      </c>
      <c r="G37" s="54">
        <v>49465</v>
      </c>
      <c r="H37" s="54">
        <v>47923</v>
      </c>
      <c r="I37" s="100">
        <f t="shared" si="2"/>
        <v>-3.1173557060547807E-2</v>
      </c>
      <c r="J37" s="54">
        <f t="shared" si="3"/>
        <v>-1542</v>
      </c>
      <c r="K37" s="100">
        <f t="shared" si="0"/>
        <v>8.7911656517346056E-3</v>
      </c>
      <c r="L37" s="100">
        <f>H37/H35</f>
        <v>0.84692056198639221</v>
      </c>
      <c r="M37" s="54">
        <v>0</v>
      </c>
      <c r="N37" s="54">
        <v>0</v>
      </c>
      <c r="O37" s="54">
        <v>4483</v>
      </c>
      <c r="P37" s="54">
        <v>3751</v>
      </c>
      <c r="Q37" s="54">
        <v>4415</v>
      </c>
      <c r="R37" s="54">
        <v>4191</v>
      </c>
      <c r="S37" s="100">
        <f t="shared" si="4"/>
        <v>-5.0736126840317142E-2</v>
      </c>
      <c r="T37" s="54">
        <f t="shared" si="1"/>
        <v>-224</v>
      </c>
      <c r="U37" s="100">
        <f t="shared" si="5"/>
        <v>8.6349185886707841E-3</v>
      </c>
      <c r="V37" s="100">
        <f>IFERROR(R37/R35,"-")</f>
        <v>0.80271978548170853</v>
      </c>
    </row>
    <row r="38" spans="2:22" ht="15.75" thickBot="1" x14ac:dyDescent="0.3">
      <c r="B38" s="99" t="s">
        <v>145</v>
      </c>
      <c r="C38" s="54">
        <v>4061</v>
      </c>
      <c r="D38" s="54">
        <v>0</v>
      </c>
      <c r="E38" s="54">
        <v>4766</v>
      </c>
      <c r="F38" s="54">
        <v>7355</v>
      </c>
      <c r="G38" s="54">
        <v>7923</v>
      </c>
      <c r="H38" s="54">
        <v>8662</v>
      </c>
      <c r="I38" s="100">
        <f t="shared" si="2"/>
        <v>9.3272750220875889E-2</v>
      </c>
      <c r="J38" s="54">
        <f t="shared" si="3"/>
        <v>739</v>
      </c>
      <c r="K38" s="100">
        <f t="shared" si="0"/>
        <v>1.5889881033183473E-3</v>
      </c>
      <c r="L38" s="100">
        <f>H38/H35</f>
        <v>0.15307943801360785</v>
      </c>
      <c r="M38" s="54">
        <v>0</v>
      </c>
      <c r="N38" s="54">
        <v>0</v>
      </c>
      <c r="O38" s="54">
        <v>683</v>
      </c>
      <c r="P38" s="54">
        <v>834</v>
      </c>
      <c r="Q38" s="54">
        <v>813</v>
      </c>
      <c r="R38" s="54">
        <v>1030</v>
      </c>
      <c r="S38" s="100">
        <f t="shared" si="4"/>
        <v>0.2669126691266912</v>
      </c>
      <c r="T38" s="54">
        <f t="shared" si="1"/>
        <v>217</v>
      </c>
      <c r="U38" s="100">
        <f t="shared" si="5"/>
        <v>1.9198939224077405E-3</v>
      </c>
      <c r="V38" s="100">
        <f>IFERROR(R38/R35,"-")</f>
        <v>0.1972802145182915</v>
      </c>
    </row>
    <row r="39" spans="2:22" ht="15.75" x14ac:dyDescent="0.25">
      <c r="B39" s="134" t="s">
        <v>53</v>
      </c>
      <c r="C39" s="135">
        <v>76081</v>
      </c>
      <c r="D39" s="135">
        <v>107459</v>
      </c>
      <c r="E39" s="135">
        <v>198873</v>
      </c>
      <c r="F39" s="135">
        <v>252588</v>
      </c>
      <c r="G39" s="135">
        <v>239146</v>
      </c>
      <c r="H39" s="135">
        <v>250668</v>
      </c>
      <c r="I39" s="136">
        <f t="shared" si="2"/>
        <v>4.8179773025682993E-2</v>
      </c>
      <c r="J39" s="135">
        <f t="shared" si="3"/>
        <v>11522</v>
      </c>
      <c r="K39" s="136">
        <f t="shared" si="0"/>
        <v>4.5983429910252074E-2</v>
      </c>
      <c r="L39" s="137">
        <f>H39/H39</f>
        <v>1</v>
      </c>
      <c r="M39" s="135">
        <v>6293</v>
      </c>
      <c r="N39" s="135">
        <v>13338</v>
      </c>
      <c r="O39" s="135">
        <v>17905</v>
      </c>
      <c r="P39" s="135">
        <v>20333</v>
      </c>
      <c r="Q39" s="135">
        <v>18315</v>
      </c>
      <c r="R39" s="135">
        <v>21025</v>
      </c>
      <c r="S39" s="136">
        <f t="shared" si="4"/>
        <v>0.14796614796614804</v>
      </c>
      <c r="T39" s="135">
        <f t="shared" si="1"/>
        <v>2710</v>
      </c>
      <c r="U39" s="136">
        <f t="shared" si="5"/>
        <v>4.6807197990787273E-2</v>
      </c>
      <c r="V39" s="137">
        <f>IFERROR(R39/R39,"-")</f>
        <v>1</v>
      </c>
    </row>
    <row r="40" spans="2:22" ht="15.75" x14ac:dyDescent="0.25">
      <c r="B40" s="138" t="s">
        <v>63</v>
      </c>
      <c r="C40" s="139">
        <v>62298</v>
      </c>
      <c r="D40" s="139">
        <v>94072</v>
      </c>
      <c r="E40" s="139">
        <v>169794</v>
      </c>
      <c r="F40" s="139">
        <v>220761</v>
      </c>
      <c r="G40" s="139">
        <v>207278</v>
      </c>
      <c r="H40" s="139">
        <v>217984</v>
      </c>
      <c r="I40" s="140">
        <f t="shared" si="2"/>
        <v>5.1650440471251224E-2</v>
      </c>
      <c r="J40" s="139">
        <f t="shared" si="3"/>
        <v>10706</v>
      </c>
      <c r="K40" s="140">
        <f t="shared" si="0"/>
        <v>3.9987760645780031E-2</v>
      </c>
      <c r="L40" s="140">
        <f>H40/H39</f>
        <v>0.86961239567874637</v>
      </c>
      <c r="M40" s="139">
        <v>6274</v>
      </c>
      <c r="N40" s="139">
        <v>11136</v>
      </c>
      <c r="O40" s="139">
        <v>15138</v>
      </c>
      <c r="P40" s="139">
        <v>17513</v>
      </c>
      <c r="Q40" s="139">
        <v>15560</v>
      </c>
      <c r="R40" s="139">
        <v>18388</v>
      </c>
      <c r="S40" s="140">
        <f t="shared" si="4"/>
        <v>0.18174807197943443</v>
      </c>
      <c r="T40" s="139">
        <f t="shared" si="1"/>
        <v>2828</v>
      </c>
      <c r="U40" s="140">
        <f t="shared" si="5"/>
        <v>4.0315470339480526E-2</v>
      </c>
      <c r="V40" s="140">
        <f>IFERROR(R40/R39,"-")</f>
        <v>0.87457788347205712</v>
      </c>
    </row>
    <row r="41" spans="2:22" x14ac:dyDescent="0.25">
      <c r="B41" s="99" t="s">
        <v>143</v>
      </c>
      <c r="C41" s="54">
        <v>22627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100" t="str">
        <f t="shared" si="2"/>
        <v>-</v>
      </c>
      <c r="J41" s="54">
        <f t="shared" si="3"/>
        <v>0</v>
      </c>
      <c r="K41" s="100">
        <f t="shared" si="0"/>
        <v>0</v>
      </c>
      <c r="L41" s="100">
        <f>H41/H39</f>
        <v>0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100" t="str">
        <f t="shared" si="4"/>
        <v>-</v>
      </c>
      <c r="T41" s="54">
        <f t="shared" si="1"/>
        <v>0</v>
      </c>
      <c r="U41" s="100">
        <f t="shared" si="5"/>
        <v>0</v>
      </c>
      <c r="V41" s="100">
        <f>IFERROR(R41/R39,"-")</f>
        <v>0</v>
      </c>
    </row>
    <row r="42" spans="2:22" x14ac:dyDescent="0.25">
      <c r="B42" s="99" t="s">
        <v>145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100" t="str">
        <f t="shared" si="2"/>
        <v>-</v>
      </c>
      <c r="J42" s="54">
        <f t="shared" si="3"/>
        <v>0</v>
      </c>
      <c r="K42" s="100">
        <f t="shared" si="0"/>
        <v>0</v>
      </c>
      <c r="L42" s="100">
        <f>H42/H39</f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100" t="str">
        <f t="shared" si="4"/>
        <v>-</v>
      </c>
      <c r="T42" s="54">
        <f t="shared" si="1"/>
        <v>0</v>
      </c>
      <c r="U42" s="100">
        <f t="shared" si="5"/>
        <v>0</v>
      </c>
      <c r="V42" s="100">
        <f>IFERROR(R42/R39,"-")</f>
        <v>0</v>
      </c>
    </row>
    <row r="43" spans="2:22" ht="16.5" thickBot="1" x14ac:dyDescent="0.3">
      <c r="B43" s="141" t="s">
        <v>66</v>
      </c>
      <c r="C43" s="142">
        <v>13783</v>
      </c>
      <c r="D43" s="142">
        <v>11462</v>
      </c>
      <c r="E43" s="142">
        <v>29079</v>
      </c>
      <c r="F43" s="142">
        <v>31827</v>
      </c>
      <c r="G43" s="142">
        <v>31868</v>
      </c>
      <c r="H43" s="142">
        <v>32684</v>
      </c>
      <c r="I43" s="143">
        <f t="shared" si="2"/>
        <v>2.560562319568227E-2</v>
      </c>
      <c r="J43" s="142">
        <f t="shared" si="3"/>
        <v>816</v>
      </c>
      <c r="K43" s="143">
        <f t="shared" si="0"/>
        <v>5.9956692644720462E-3</v>
      </c>
      <c r="L43" s="143">
        <f>H43/H39</f>
        <v>0.1303876043212536</v>
      </c>
      <c r="M43" s="142">
        <v>19</v>
      </c>
      <c r="N43" s="142">
        <v>2202</v>
      </c>
      <c r="O43" s="142">
        <v>2767</v>
      </c>
      <c r="P43" s="142">
        <v>2820</v>
      </c>
      <c r="Q43" s="142">
        <v>2755</v>
      </c>
      <c r="R43" s="142">
        <v>2637</v>
      </c>
      <c r="S43" s="143">
        <f t="shared" si="4"/>
        <v>-4.2831215970961845E-2</v>
      </c>
      <c r="T43" s="142">
        <f t="shared" si="1"/>
        <v>-118</v>
      </c>
      <c r="U43" s="143">
        <f t="shared" si="5"/>
        <v>6.4917276513067482E-3</v>
      </c>
      <c r="V43" s="143">
        <f>IFERROR(R43/R39,"-")</f>
        <v>0.12542211652794291</v>
      </c>
    </row>
    <row r="44" spans="2:22" ht="15.75" x14ac:dyDescent="0.25">
      <c r="B44" s="134" t="s">
        <v>54</v>
      </c>
      <c r="C44" s="135">
        <v>91416</v>
      </c>
      <c r="D44" s="135">
        <v>164258</v>
      </c>
      <c r="E44" s="135">
        <v>229131</v>
      </c>
      <c r="F44" s="135">
        <v>240044</v>
      </c>
      <c r="G44" s="135">
        <v>250407</v>
      </c>
      <c r="H44" s="135">
        <v>282601</v>
      </c>
      <c r="I44" s="136">
        <f t="shared" si="2"/>
        <v>0.12856669342310711</v>
      </c>
      <c r="J44" s="135">
        <f t="shared" si="3"/>
        <v>32194</v>
      </c>
      <c r="K44" s="136">
        <f t="shared" si="0"/>
        <v>5.184133306232605E-2</v>
      </c>
      <c r="L44" s="137">
        <f>H44/H44</f>
        <v>1</v>
      </c>
      <c r="M44" s="135">
        <v>6962</v>
      </c>
      <c r="N44" s="135">
        <v>18198</v>
      </c>
      <c r="O44" s="135">
        <v>23965</v>
      </c>
      <c r="P44" s="135">
        <v>20577</v>
      </c>
      <c r="Q44" s="135">
        <v>24629</v>
      </c>
      <c r="R44" s="135">
        <v>26233</v>
      </c>
      <c r="S44" s="136">
        <f t="shared" si="4"/>
        <v>6.5126476917455101E-2</v>
      </c>
      <c r="T44" s="135">
        <f t="shared" si="1"/>
        <v>1604</v>
      </c>
      <c r="U44" s="136">
        <f t="shared" si="5"/>
        <v>4.7368893574801049E-2</v>
      </c>
      <c r="V44" s="137">
        <f>IFERROR(R44/R44,"-")</f>
        <v>1</v>
      </c>
    </row>
    <row r="45" spans="2:22" ht="15.75" x14ac:dyDescent="0.25">
      <c r="B45" s="138" t="s">
        <v>63</v>
      </c>
      <c r="C45" s="139">
        <v>91416</v>
      </c>
      <c r="D45" s="139">
        <v>164258</v>
      </c>
      <c r="E45" s="139">
        <v>229131</v>
      </c>
      <c r="F45" s="139">
        <v>240044</v>
      </c>
      <c r="G45" s="139">
        <v>250407</v>
      </c>
      <c r="H45" s="139">
        <v>282601</v>
      </c>
      <c r="I45" s="140">
        <f t="shared" si="2"/>
        <v>0.12856669342310711</v>
      </c>
      <c r="J45" s="139">
        <f t="shared" si="3"/>
        <v>32194</v>
      </c>
      <c r="K45" s="140">
        <f t="shared" si="0"/>
        <v>5.184133306232605E-2</v>
      </c>
      <c r="L45" s="140">
        <f>H45/H44</f>
        <v>1</v>
      </c>
      <c r="M45" s="139">
        <v>6962</v>
      </c>
      <c r="N45" s="139">
        <v>18198</v>
      </c>
      <c r="O45" s="139">
        <v>23965</v>
      </c>
      <c r="P45" s="139">
        <v>20577</v>
      </c>
      <c r="Q45" s="139">
        <v>24629</v>
      </c>
      <c r="R45" s="139">
        <v>26233</v>
      </c>
      <c r="S45" s="140">
        <f t="shared" si="4"/>
        <v>6.5126476917455101E-2</v>
      </c>
      <c r="T45" s="139">
        <f t="shared" si="1"/>
        <v>1604</v>
      </c>
      <c r="U45" s="140">
        <f t="shared" si="5"/>
        <v>4.7368893574801049E-2</v>
      </c>
      <c r="V45" s="140">
        <f>IFERROR(R45/R44,"-")</f>
        <v>1</v>
      </c>
    </row>
    <row r="46" spans="2:22" x14ac:dyDescent="0.25">
      <c r="B46" s="99" t="s">
        <v>143</v>
      </c>
      <c r="C46" s="54">
        <v>46941</v>
      </c>
      <c r="D46" s="54">
        <v>102944</v>
      </c>
      <c r="E46" s="54">
        <v>135697</v>
      </c>
      <c r="F46" s="54">
        <v>145679</v>
      </c>
      <c r="G46" s="54">
        <v>151188</v>
      </c>
      <c r="H46" s="54">
        <v>186600</v>
      </c>
      <c r="I46" s="100">
        <f t="shared" si="2"/>
        <v>0.23422493848718151</v>
      </c>
      <c r="J46" s="54">
        <f t="shared" si="3"/>
        <v>35412</v>
      </c>
      <c r="K46" s="100">
        <f t="shared" si="0"/>
        <v>3.4230568007296652E-2</v>
      </c>
      <c r="L46" s="100">
        <f>H46/H44</f>
        <v>0.66029490341506225</v>
      </c>
      <c r="M46" s="54">
        <v>3684</v>
      </c>
      <c r="N46" s="54">
        <v>11107</v>
      </c>
      <c r="O46" s="54">
        <v>13567</v>
      </c>
      <c r="P46" s="54">
        <v>12991</v>
      </c>
      <c r="Q46" s="54">
        <v>15417</v>
      </c>
      <c r="R46" s="54">
        <v>16208</v>
      </c>
      <c r="S46" s="100">
        <f t="shared" si="4"/>
        <v>5.1306998767594258E-2</v>
      </c>
      <c r="T46" s="54">
        <f t="shared" si="1"/>
        <v>791</v>
      </c>
      <c r="U46" s="100">
        <f t="shared" si="5"/>
        <v>2.9905685786569491E-2</v>
      </c>
      <c r="V46" s="100">
        <f>IFERROR(R46/R44,"-")</f>
        <v>0.61784774901841188</v>
      </c>
    </row>
    <row r="47" spans="2:22" ht="15.75" thickBot="1" x14ac:dyDescent="0.3">
      <c r="B47" s="99" t="s">
        <v>145</v>
      </c>
      <c r="C47" s="54">
        <v>44475</v>
      </c>
      <c r="D47" s="54">
        <v>61314</v>
      </c>
      <c r="E47" s="54">
        <v>93434</v>
      </c>
      <c r="F47" s="54">
        <v>94365</v>
      </c>
      <c r="G47" s="54">
        <v>99219</v>
      </c>
      <c r="H47" s="54">
        <v>96001</v>
      </c>
      <c r="I47" s="100">
        <f t="shared" si="2"/>
        <v>-3.2433304105060512E-2</v>
      </c>
      <c r="J47" s="54">
        <f t="shared" si="3"/>
        <v>-3218</v>
      </c>
      <c r="K47" s="100">
        <f t="shared" si="0"/>
        <v>1.7610765055029398E-2</v>
      </c>
      <c r="L47" s="100">
        <f>H47/H44</f>
        <v>0.33970509658493775</v>
      </c>
      <c r="M47" s="54">
        <v>3278</v>
      </c>
      <c r="N47" s="54">
        <v>7091</v>
      </c>
      <c r="O47" s="54">
        <v>10398</v>
      </c>
      <c r="P47" s="54">
        <v>7586</v>
      </c>
      <c r="Q47" s="54">
        <v>9212</v>
      </c>
      <c r="R47" s="54">
        <v>10025</v>
      </c>
      <c r="S47" s="100">
        <f t="shared" si="4"/>
        <v>8.8254450716456878E-2</v>
      </c>
      <c r="T47" s="54">
        <f t="shared" si="1"/>
        <v>813</v>
      </c>
      <c r="U47" s="100">
        <f t="shared" si="5"/>
        <v>1.7463207788231558E-2</v>
      </c>
      <c r="V47" s="100">
        <f>IFERROR(R47/R44,"-")</f>
        <v>0.38215225098158806</v>
      </c>
    </row>
    <row r="48" spans="2:22" ht="15.75" x14ac:dyDescent="0.25">
      <c r="B48" s="134" t="s">
        <v>55</v>
      </c>
      <c r="C48" s="135">
        <v>89173</v>
      </c>
      <c r="D48" s="135">
        <v>140346</v>
      </c>
      <c r="E48" s="135">
        <v>257117</v>
      </c>
      <c r="F48" s="135">
        <v>280769</v>
      </c>
      <c r="G48" s="135">
        <v>288350</v>
      </c>
      <c r="H48" s="135">
        <v>287664</v>
      </c>
      <c r="I48" s="136">
        <f t="shared" si="2"/>
        <v>-2.3790532339170722E-3</v>
      </c>
      <c r="J48" s="135">
        <f t="shared" si="3"/>
        <v>-686</v>
      </c>
      <c r="K48" s="136">
        <f t="shared" si="0"/>
        <v>5.277010779877269E-2</v>
      </c>
      <c r="L48" s="137">
        <f>H48/H48</f>
        <v>1</v>
      </c>
      <c r="M48" s="135">
        <v>6261</v>
      </c>
      <c r="N48" s="135">
        <v>19784</v>
      </c>
      <c r="O48" s="135">
        <v>23285</v>
      </c>
      <c r="P48" s="135">
        <v>24142</v>
      </c>
      <c r="Q48" s="135">
        <v>23290</v>
      </c>
      <c r="R48" s="135">
        <v>24074</v>
      </c>
      <c r="S48" s="136">
        <f t="shared" si="4"/>
        <v>3.3662516101331086E-2</v>
      </c>
      <c r="T48" s="135">
        <f t="shared" si="1"/>
        <v>784</v>
      </c>
      <c r="U48" s="136">
        <f t="shared" si="5"/>
        <v>5.5575634382215432E-2</v>
      </c>
      <c r="V48" s="137">
        <f>IFERROR(R48/R48,"-")</f>
        <v>1</v>
      </c>
    </row>
    <row r="49" spans="2:22" ht="15.75" x14ac:dyDescent="0.25">
      <c r="B49" s="138" t="s">
        <v>63</v>
      </c>
      <c r="C49" s="139">
        <v>71022</v>
      </c>
      <c r="D49" s="139">
        <v>116590</v>
      </c>
      <c r="E49" s="139">
        <v>211298</v>
      </c>
      <c r="F49" s="139">
        <v>231221</v>
      </c>
      <c r="G49" s="139">
        <v>236470</v>
      </c>
      <c r="H49" s="139">
        <v>232777</v>
      </c>
      <c r="I49" s="140">
        <f t="shared" si="2"/>
        <v>-1.5617203027868176E-2</v>
      </c>
      <c r="J49" s="139">
        <f t="shared" si="3"/>
        <v>-3693</v>
      </c>
      <c r="K49" s="140">
        <f t="shared" si="0"/>
        <v>4.2701441205972628E-2</v>
      </c>
      <c r="L49" s="140">
        <f>H49/H48</f>
        <v>0.80919753601423883</v>
      </c>
      <c r="M49" s="139">
        <v>5416</v>
      </c>
      <c r="N49" s="139">
        <v>15695</v>
      </c>
      <c r="O49" s="139">
        <v>18747</v>
      </c>
      <c r="P49" s="139">
        <v>19529</v>
      </c>
      <c r="Q49" s="139">
        <v>18483</v>
      </c>
      <c r="R49" s="139">
        <v>19257</v>
      </c>
      <c r="S49" s="140">
        <f t="shared" si="4"/>
        <v>4.1876318779418886E-2</v>
      </c>
      <c r="T49" s="139">
        <f t="shared" si="1"/>
        <v>774</v>
      </c>
      <c r="U49" s="140">
        <f t="shared" si="5"/>
        <v>4.4956365000840243E-2</v>
      </c>
      <c r="V49" s="140">
        <f>IFERROR(R49/R48,"-")</f>
        <v>0.79990861510343114</v>
      </c>
    </row>
    <row r="50" spans="2:22" x14ac:dyDescent="0.25">
      <c r="B50" s="99" t="s">
        <v>143</v>
      </c>
      <c r="C50" s="54">
        <v>40956</v>
      </c>
      <c r="D50" s="54">
        <v>64147</v>
      </c>
      <c r="E50" s="54">
        <v>163913</v>
      </c>
      <c r="F50" s="54">
        <v>182213</v>
      </c>
      <c r="G50" s="54">
        <v>183875</v>
      </c>
      <c r="H50" s="54">
        <v>182150</v>
      </c>
      <c r="I50" s="100">
        <f t="shared" si="2"/>
        <v>-9.3813732154996998E-3</v>
      </c>
      <c r="J50" s="54">
        <f t="shared" si="3"/>
        <v>-1725</v>
      </c>
      <c r="K50" s="100">
        <f t="shared" si="0"/>
        <v>3.3414244172181591E-2</v>
      </c>
      <c r="L50" s="100">
        <f>H50/H48</f>
        <v>0.63320401579620667</v>
      </c>
      <c r="M50" s="54">
        <v>0</v>
      </c>
      <c r="N50" s="54">
        <v>12078</v>
      </c>
      <c r="O50" s="54">
        <v>15326</v>
      </c>
      <c r="P50" s="54">
        <v>15445</v>
      </c>
      <c r="Q50" s="54">
        <v>14687</v>
      </c>
      <c r="R50" s="54">
        <v>15398</v>
      </c>
      <c r="S50" s="100">
        <f t="shared" si="4"/>
        <v>4.8410158643698464E-2</v>
      </c>
      <c r="T50" s="54">
        <f t="shared" si="1"/>
        <v>711</v>
      </c>
      <c r="U50" s="100">
        <f t="shared" si="5"/>
        <v>3.5554870061855579E-2</v>
      </c>
      <c r="V50" s="100">
        <f>IFERROR(R50/R48,"-")</f>
        <v>0.63961119880368866</v>
      </c>
    </row>
    <row r="51" spans="2:22" x14ac:dyDescent="0.25">
      <c r="B51" s="99" t="s">
        <v>145</v>
      </c>
      <c r="C51" s="54">
        <v>9862</v>
      </c>
      <c r="D51" s="54">
        <v>24847</v>
      </c>
      <c r="E51" s="54">
        <v>47385</v>
      </c>
      <c r="F51" s="54">
        <v>49008</v>
      </c>
      <c r="G51" s="54">
        <v>52595</v>
      </c>
      <c r="H51" s="54">
        <v>50627</v>
      </c>
      <c r="I51" s="100">
        <f t="shared" si="2"/>
        <v>-3.741800551383212E-2</v>
      </c>
      <c r="J51" s="54">
        <f t="shared" si="3"/>
        <v>-1968</v>
      </c>
      <c r="K51" s="100">
        <f t="shared" si="0"/>
        <v>9.2871970337910364E-3</v>
      </c>
      <c r="L51" s="100">
        <f>H51/H48</f>
        <v>0.17599352021803216</v>
      </c>
      <c r="M51" s="54">
        <v>0</v>
      </c>
      <c r="N51" s="54">
        <v>3617</v>
      </c>
      <c r="O51" s="54">
        <v>3421</v>
      </c>
      <c r="P51" s="54">
        <v>4084</v>
      </c>
      <c r="Q51" s="54">
        <v>3796</v>
      </c>
      <c r="R51" s="54">
        <v>3859</v>
      </c>
      <c r="S51" s="100">
        <f t="shared" si="4"/>
        <v>1.6596417281348863E-2</v>
      </c>
      <c r="T51" s="54">
        <f t="shared" si="1"/>
        <v>63</v>
      </c>
      <c r="U51" s="100">
        <f t="shared" si="5"/>
        <v>9.4014949389846659E-3</v>
      </c>
      <c r="V51" s="100">
        <f>IFERROR(R51/R48,"-")</f>
        <v>0.16029741629974245</v>
      </c>
    </row>
    <row r="52" spans="2:22" ht="16.5" thickBot="1" x14ac:dyDescent="0.3">
      <c r="B52" s="141" t="s">
        <v>66</v>
      </c>
      <c r="C52" s="142">
        <v>18151</v>
      </c>
      <c r="D52" s="142">
        <v>23756</v>
      </c>
      <c r="E52" s="142">
        <v>45819</v>
      </c>
      <c r="F52" s="142">
        <v>49548</v>
      </c>
      <c r="G52" s="142">
        <v>51880</v>
      </c>
      <c r="H52" s="142">
        <v>54887</v>
      </c>
      <c r="I52" s="143">
        <f t="shared" si="2"/>
        <v>5.796067848882025E-2</v>
      </c>
      <c r="J52" s="142">
        <f t="shared" si="3"/>
        <v>3007</v>
      </c>
      <c r="K52" s="143">
        <f t="shared" si="0"/>
        <v>1.0068666592800061E-2</v>
      </c>
      <c r="L52" s="143">
        <f>H52/H48</f>
        <v>0.19080246398576117</v>
      </c>
      <c r="M52" s="142">
        <v>845</v>
      </c>
      <c r="N52" s="142">
        <v>4089</v>
      </c>
      <c r="O52" s="142">
        <v>4538</v>
      </c>
      <c r="P52" s="142">
        <v>4613</v>
      </c>
      <c r="Q52" s="142">
        <v>4807</v>
      </c>
      <c r="R52" s="142">
        <v>4817</v>
      </c>
      <c r="S52" s="143">
        <f t="shared" si="4"/>
        <v>2.0802995631370447E-3</v>
      </c>
      <c r="T52" s="142">
        <f t="shared" si="1"/>
        <v>10</v>
      </c>
      <c r="U52" s="143">
        <f t="shared" si="5"/>
        <v>1.0619269381375187E-2</v>
      </c>
      <c r="V52" s="143">
        <f>IFERROR(R52/R48,"-")</f>
        <v>0.20009138489656891</v>
      </c>
    </row>
    <row r="53" spans="2:22" ht="15.75" x14ac:dyDescent="0.25">
      <c r="B53" s="134" t="s">
        <v>56</v>
      </c>
      <c r="C53" s="135">
        <f t="shared" ref="C53:H56" si="6">C6-C11-C16-C21-C26-C30-C35-C39-C44-C48</f>
        <v>141186</v>
      </c>
      <c r="D53" s="135">
        <f t="shared" si="6"/>
        <v>71959</v>
      </c>
      <c r="E53" s="135">
        <f t="shared" si="6"/>
        <v>111437</v>
      </c>
      <c r="F53" s="135">
        <f t="shared" si="6"/>
        <v>123306</v>
      </c>
      <c r="G53" s="135">
        <f t="shared" si="6"/>
        <v>128413</v>
      </c>
      <c r="H53" s="135">
        <f t="shared" si="6"/>
        <v>123457</v>
      </c>
      <c r="I53" s="136">
        <f t="shared" si="2"/>
        <v>-3.8594223326298693E-2</v>
      </c>
      <c r="J53" s="135">
        <f t="shared" si="3"/>
        <v>-4956</v>
      </c>
      <c r="K53" s="136">
        <f t="shared" si="0"/>
        <v>2.2647391395910089E-2</v>
      </c>
      <c r="L53" s="137">
        <f>H53/H53</f>
        <v>1</v>
      </c>
      <c r="M53" s="135">
        <v>2510</v>
      </c>
      <c r="N53" s="135">
        <v>8951</v>
      </c>
      <c r="O53" s="135">
        <v>10349</v>
      </c>
      <c r="P53" s="135">
        <v>10850</v>
      </c>
      <c r="Q53" s="135">
        <v>10319</v>
      </c>
      <c r="R53" s="135">
        <v>8275</v>
      </c>
      <c r="S53" s="136">
        <f t="shared" si="4"/>
        <v>-0.19808120941951735</v>
      </c>
      <c r="T53" s="135">
        <f t="shared" si="1"/>
        <v>-2044</v>
      </c>
      <c r="U53" s="136">
        <f t="shared" si="5"/>
        <v>2.4977037239956815E-2</v>
      </c>
      <c r="V53" s="137">
        <f>IFERROR(R53/R53,"-")</f>
        <v>1</v>
      </c>
    </row>
    <row r="54" spans="2:22" ht="15.75" x14ac:dyDescent="0.25">
      <c r="B54" s="138" t="s">
        <v>63</v>
      </c>
      <c r="C54" s="139">
        <f t="shared" si="6"/>
        <v>108316</v>
      </c>
      <c r="D54" s="139">
        <f t="shared" si="6"/>
        <v>72713</v>
      </c>
      <c r="E54" s="139">
        <f t="shared" si="6"/>
        <v>108068</v>
      </c>
      <c r="F54" s="139">
        <f t="shared" si="6"/>
        <v>113850</v>
      </c>
      <c r="G54" s="139">
        <f t="shared" si="6"/>
        <v>117114</v>
      </c>
      <c r="H54" s="139">
        <f t="shared" si="6"/>
        <v>111271</v>
      </c>
      <c r="I54" s="140">
        <f t="shared" si="2"/>
        <v>-4.9891558652253365E-2</v>
      </c>
      <c r="J54" s="139">
        <f t="shared" si="3"/>
        <v>-5843</v>
      </c>
      <c r="K54" s="140">
        <f t="shared" si="0"/>
        <v>2.0411948192603994E-2</v>
      </c>
      <c r="L54" s="140">
        <f>H54/H53</f>
        <v>0.90129356780093473</v>
      </c>
      <c r="M54" s="139">
        <v>2451</v>
      </c>
      <c r="N54" s="139">
        <v>8704</v>
      </c>
      <c r="O54" s="139">
        <v>10040</v>
      </c>
      <c r="P54" s="139">
        <v>9788</v>
      </c>
      <c r="Q54" s="139">
        <v>9325</v>
      </c>
      <c r="R54" s="139">
        <v>7498</v>
      </c>
      <c r="S54" s="140">
        <f t="shared" si="4"/>
        <v>-0.19592493297587132</v>
      </c>
      <c r="T54" s="139">
        <f t="shared" si="1"/>
        <v>-1827</v>
      </c>
      <c r="U54" s="140">
        <f t="shared" si="5"/>
        <v>2.2532280230847676E-2</v>
      </c>
      <c r="V54" s="140">
        <f>IFERROR(R54/R53,"-")</f>
        <v>0.90610271903323258</v>
      </c>
    </row>
    <row r="55" spans="2:22" x14ac:dyDescent="0.25">
      <c r="B55" s="99" t="s">
        <v>143</v>
      </c>
      <c r="C55" s="54">
        <f t="shared" si="6"/>
        <v>141538</v>
      </c>
      <c r="D55" s="54">
        <f t="shared" si="6"/>
        <v>205466</v>
      </c>
      <c r="E55" s="54">
        <f t="shared" si="6"/>
        <v>395430</v>
      </c>
      <c r="F55" s="54">
        <f t="shared" si="6"/>
        <v>351015</v>
      </c>
      <c r="G55" s="54">
        <f t="shared" si="6"/>
        <v>442209</v>
      </c>
      <c r="H55" s="54">
        <f t="shared" si="6"/>
        <v>398004</v>
      </c>
      <c r="I55" s="100">
        <f t="shared" si="2"/>
        <v>-9.9964044151068854E-2</v>
      </c>
      <c r="J55" s="54">
        <f t="shared" si="3"/>
        <v>-44205</v>
      </c>
      <c r="K55" s="100">
        <f t="shared" si="0"/>
        <v>7.3011270038457102E-2</v>
      </c>
      <c r="L55" s="100">
        <f>H55/H53</f>
        <v>3.2238269194942371</v>
      </c>
      <c r="M55" s="54">
        <v>1592</v>
      </c>
      <c r="N55" s="54">
        <v>6327</v>
      </c>
      <c r="O55" s="54">
        <v>6948</v>
      </c>
      <c r="P55" s="54">
        <v>6786</v>
      </c>
      <c r="Q55" s="54">
        <v>6385</v>
      </c>
      <c r="R55" s="54">
        <v>4636</v>
      </c>
      <c r="S55" s="100">
        <f t="shared" si="4"/>
        <v>-0.27392325763508218</v>
      </c>
      <c r="T55" s="54">
        <f t="shared" si="1"/>
        <v>-1749</v>
      </c>
      <c r="U55" s="100">
        <f t="shared" si="5"/>
        <v>1.5621582922612622E-2</v>
      </c>
      <c r="V55" s="100">
        <f>IFERROR(R55/R53,"-")</f>
        <v>0.56024169184290029</v>
      </c>
    </row>
    <row r="56" spans="2:22" x14ac:dyDescent="0.25">
      <c r="B56" s="99" t="s">
        <v>145</v>
      </c>
      <c r="C56" s="54">
        <f t="shared" si="6"/>
        <v>55444</v>
      </c>
      <c r="D56" s="54">
        <f t="shared" si="6"/>
        <v>56786</v>
      </c>
      <c r="E56" s="54">
        <f t="shared" si="6"/>
        <v>83987</v>
      </c>
      <c r="F56" s="54">
        <f t="shared" si="6"/>
        <v>118394</v>
      </c>
      <c r="G56" s="54">
        <f t="shared" si="6"/>
        <v>118167</v>
      </c>
      <c r="H56" s="54">
        <f t="shared" si="6"/>
        <v>126543</v>
      </c>
      <c r="I56" s="100">
        <f t="shared" si="2"/>
        <v>7.0882733758155902E-2</v>
      </c>
      <c r="J56" s="54">
        <f t="shared" si="3"/>
        <v>8376</v>
      </c>
      <c r="K56" s="100">
        <f t="shared" si="0"/>
        <v>2.32134982172955E-2</v>
      </c>
      <c r="L56" s="100">
        <f>H56/H53</f>
        <v>1.0249965575058522</v>
      </c>
      <c r="M56" s="54">
        <v>859</v>
      </c>
      <c r="N56" s="54">
        <v>2377</v>
      </c>
      <c r="O56" s="54">
        <v>3092</v>
      </c>
      <c r="P56" s="54">
        <v>3002</v>
      </c>
      <c r="Q56" s="54">
        <v>2940</v>
      </c>
      <c r="R56" s="54">
        <v>2862</v>
      </c>
      <c r="S56" s="100">
        <f t="shared" si="4"/>
        <v>-2.6530612244897944E-2</v>
      </c>
      <c r="T56" s="54">
        <f t="shared" si="1"/>
        <v>-78</v>
      </c>
      <c r="U56" s="100">
        <f t="shared" si="5"/>
        <v>6.9106973082350559E-3</v>
      </c>
      <c r="V56" s="100">
        <f>IFERROR(R56/R53,"-")</f>
        <v>0.34586102719033235</v>
      </c>
    </row>
    <row r="57" spans="2:22" ht="15.75" x14ac:dyDescent="0.25">
      <c r="B57" s="141" t="s">
        <v>66</v>
      </c>
      <c r="C57" s="142">
        <f>C53-C54</f>
        <v>32870</v>
      </c>
      <c r="D57" s="142">
        <f t="shared" ref="D57:H57" si="7">D53-D54</f>
        <v>-754</v>
      </c>
      <c r="E57" s="142">
        <f t="shared" si="7"/>
        <v>3369</v>
      </c>
      <c r="F57" s="142">
        <f t="shared" si="7"/>
        <v>9456</v>
      </c>
      <c r="G57" s="142">
        <f t="shared" si="7"/>
        <v>11299</v>
      </c>
      <c r="H57" s="142">
        <f t="shared" si="7"/>
        <v>12186</v>
      </c>
      <c r="I57" s="143">
        <f t="shared" si="2"/>
        <v>7.8502522347110304E-2</v>
      </c>
      <c r="J57" s="142">
        <f t="shared" si="3"/>
        <v>887</v>
      </c>
      <c r="K57" s="143">
        <f t="shared" si="0"/>
        <v>2.235443203306093E-3</v>
      </c>
      <c r="L57" s="143">
        <f>H57/H53</f>
        <v>9.8706432199065261E-2</v>
      </c>
      <c r="M57" s="142">
        <v>133</v>
      </c>
      <c r="N57" s="142">
        <v>2205</v>
      </c>
      <c r="O57" s="142">
        <v>1076</v>
      </c>
      <c r="P57" s="142">
        <v>1898</v>
      </c>
      <c r="Q57" s="142">
        <v>4419</v>
      </c>
      <c r="R57" s="142">
        <v>3626</v>
      </c>
      <c r="S57" s="143">
        <f t="shared" si="4"/>
        <v>-0.17945236478841364</v>
      </c>
      <c r="T57" s="142">
        <f t="shared" si="1"/>
        <v>-793</v>
      </c>
      <c r="U57" s="143">
        <f t="shared" si="5"/>
        <v>4.3692549936809244E-3</v>
      </c>
      <c r="V57" s="143">
        <f>IFERROR(R57/R53,"-")</f>
        <v>0.43818731117824772</v>
      </c>
    </row>
    <row r="58" spans="2:22" x14ac:dyDescent="0.25">
      <c r="B58" s="103"/>
      <c r="C58" s="104"/>
      <c r="D58" s="104"/>
      <c r="E58" s="104"/>
      <c r="F58" s="104"/>
      <c r="G58" s="104"/>
      <c r="H58" s="105"/>
      <c r="I58" s="104"/>
      <c r="J58" s="106"/>
      <c r="K58" s="106"/>
      <c r="L58" s="106"/>
    </row>
    <row r="59" spans="2:22" x14ac:dyDescent="0.25">
      <c r="B59" s="107" t="s">
        <v>58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AA53F-C5A9-414F-A962-3F13A6DB32BF}">
  <sheetPr>
    <tabColor theme="7" tint="0.79998168889431442"/>
    <pageSetUpPr fitToPage="1"/>
  </sheetPr>
  <dimension ref="A1:W162"/>
  <sheetViews>
    <sheetView showGridLines="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266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48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4831573</v>
      </c>
      <c r="D8" s="159">
        <v>1565303</v>
      </c>
      <c r="E8" s="159">
        <v>2335438</v>
      </c>
      <c r="F8" s="159">
        <v>4757683</v>
      </c>
      <c r="G8" s="159">
        <v>5189113</v>
      </c>
      <c r="H8" s="159">
        <v>5483293</v>
      </c>
      <c r="I8" s="160">
        <f>IFERROR(H8/G8-1,"-")</f>
        <v>5.6691769865100161E-2</v>
      </c>
      <c r="J8" s="159">
        <f t="shared" ref="J8:J20" si="0">H8-G8</f>
        <v>294180</v>
      </c>
      <c r="K8" s="160">
        <f t="shared" ref="K8:K20" si="1">H8/H$8</f>
        <v>1</v>
      </c>
      <c r="L8" s="81"/>
      <c r="N8" s="158" t="s">
        <v>71</v>
      </c>
      <c r="O8" s="159">
        <v>1299411</v>
      </c>
      <c r="P8" s="159">
        <v>375345</v>
      </c>
      <c r="Q8" s="159">
        <v>492258</v>
      </c>
      <c r="R8" s="159">
        <v>1243535</v>
      </c>
      <c r="S8" s="159">
        <v>1320376</v>
      </c>
      <c r="T8" s="159">
        <v>1387795</v>
      </c>
      <c r="U8" s="160">
        <f>IFERROR(T8/S8-1,"-")</f>
        <v>5.10604555066132E-2</v>
      </c>
      <c r="V8" s="159">
        <f>T8-S8</f>
        <v>67419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1047557</v>
      </c>
      <c r="D9" s="162">
        <v>456683</v>
      </c>
      <c r="E9" s="162">
        <v>800301</v>
      </c>
      <c r="F9" s="162">
        <v>1016781</v>
      </c>
      <c r="G9" s="162">
        <v>1042721</v>
      </c>
      <c r="H9" s="162">
        <v>1059034</v>
      </c>
      <c r="I9" s="163">
        <f>IFERROR(H9/G9-1,"-")</f>
        <v>1.56446451159995E-2</v>
      </c>
      <c r="J9" s="162">
        <f t="shared" si="0"/>
        <v>16313</v>
      </c>
      <c r="K9" s="163">
        <f t="shared" si="1"/>
        <v>0.19313832034873935</v>
      </c>
      <c r="L9" s="81"/>
      <c r="N9" s="161" t="s">
        <v>100</v>
      </c>
      <c r="O9" s="162">
        <v>127819</v>
      </c>
      <c r="P9" s="162">
        <v>51760</v>
      </c>
      <c r="Q9" s="162">
        <v>83468</v>
      </c>
      <c r="R9" s="162">
        <v>123951</v>
      </c>
      <c r="S9" s="162">
        <v>119487</v>
      </c>
      <c r="T9" s="162">
        <v>114632</v>
      </c>
      <c r="U9" s="163">
        <f>IFERROR(T9/S9-1,"-")</f>
        <v>-4.063203528417314E-2</v>
      </c>
      <c r="V9" s="162">
        <f t="shared" ref="V9:V19" si="2">T9-S9</f>
        <v>-4855</v>
      </c>
      <c r="W9" s="163">
        <f>T9/T$8</f>
        <v>8.2600095835480031E-2</v>
      </c>
    </row>
    <row r="10" spans="1:23" x14ac:dyDescent="0.25">
      <c r="A10" s="164" t="s">
        <v>106</v>
      </c>
      <c r="B10" s="165" t="s">
        <v>106</v>
      </c>
      <c r="C10" s="166">
        <v>415150</v>
      </c>
      <c r="D10" s="166">
        <v>208389</v>
      </c>
      <c r="E10" s="166">
        <v>416048</v>
      </c>
      <c r="F10" s="166">
        <v>423208</v>
      </c>
      <c r="G10" s="166">
        <v>430319</v>
      </c>
      <c r="H10" s="166">
        <v>422024</v>
      </c>
      <c r="I10" s="167">
        <f>IFERROR(H10/G10-1,"-")</f>
        <v>-1.9276397277368629E-2</v>
      </c>
      <c r="J10" s="166">
        <f t="shared" si="0"/>
        <v>-8295</v>
      </c>
      <c r="K10" s="167">
        <f t="shared" si="1"/>
        <v>7.6965429350574557E-2</v>
      </c>
      <c r="L10" s="81"/>
      <c r="N10" s="165" t="s">
        <v>106</v>
      </c>
      <c r="O10" s="166">
        <v>51328</v>
      </c>
      <c r="P10" s="166">
        <v>24912</v>
      </c>
      <c r="Q10" s="166">
        <v>43482</v>
      </c>
      <c r="R10" s="166">
        <v>48094</v>
      </c>
      <c r="S10" s="166">
        <v>52610</v>
      </c>
      <c r="T10" s="166">
        <v>50222</v>
      </c>
      <c r="U10" s="167">
        <f>IFERROR(T10/S10-1,"-")</f>
        <v>-4.5390610150161548E-2</v>
      </c>
      <c r="V10" s="166">
        <f t="shared" si="2"/>
        <v>-2388</v>
      </c>
      <c r="W10" s="167">
        <f>T10/T$8</f>
        <v>3.6188341938110456E-2</v>
      </c>
    </row>
    <row r="11" spans="1:23" x14ac:dyDescent="0.25">
      <c r="A11" s="164" t="s">
        <v>103</v>
      </c>
      <c r="B11" s="165" t="s">
        <v>103</v>
      </c>
      <c r="C11" s="166">
        <v>632407</v>
      </c>
      <c r="D11" s="166">
        <v>248294</v>
      </c>
      <c r="E11" s="166">
        <v>384253</v>
      </c>
      <c r="F11" s="166">
        <v>593573</v>
      </c>
      <c r="G11" s="166">
        <v>612402</v>
      </c>
      <c r="H11" s="166">
        <v>637010</v>
      </c>
      <c r="I11" s="167">
        <f>IFERROR(H11/G11-1,"-")</f>
        <v>4.0182755771535739E-2</v>
      </c>
      <c r="J11" s="166">
        <f t="shared" si="0"/>
        <v>24608</v>
      </c>
      <c r="K11" s="167">
        <f t="shared" si="1"/>
        <v>0.11617289099816479</v>
      </c>
      <c r="L11" s="81"/>
      <c r="N11" s="165" t="s">
        <v>103</v>
      </c>
      <c r="O11" s="166">
        <v>76491</v>
      </c>
      <c r="P11" s="166">
        <v>26848</v>
      </c>
      <c r="Q11" s="166">
        <v>39986</v>
      </c>
      <c r="R11" s="166">
        <v>75857</v>
      </c>
      <c r="S11" s="166">
        <v>66877</v>
      </c>
      <c r="T11" s="166">
        <v>64410</v>
      </c>
      <c r="U11" s="167">
        <f>IFERROR(T11/S11-1,"-")</f>
        <v>-3.6888616415210018E-2</v>
      </c>
      <c r="V11" s="166">
        <f t="shared" si="2"/>
        <v>-2467</v>
      </c>
      <c r="W11" s="167">
        <f>T11/T$8</f>
        <v>4.6411753897369568E-2</v>
      </c>
    </row>
    <row r="12" spans="1:23" x14ac:dyDescent="0.25">
      <c r="A12" s="1"/>
      <c r="B12" s="161" t="s">
        <v>110</v>
      </c>
      <c r="C12" s="162">
        <v>3784016</v>
      </c>
      <c r="D12" s="162">
        <v>1108620</v>
      </c>
      <c r="E12" s="162">
        <v>1535137</v>
      </c>
      <c r="F12" s="162">
        <v>3740902</v>
      </c>
      <c r="G12" s="162">
        <v>4146392</v>
      </c>
      <c r="H12" s="162">
        <v>4424259</v>
      </c>
      <c r="I12" s="163">
        <f>IFERROR(H12/G12-1,"-")</f>
        <v>6.7014165568523243E-2</v>
      </c>
      <c r="J12" s="162">
        <f t="shared" si="0"/>
        <v>277867</v>
      </c>
      <c r="K12" s="163">
        <f t="shared" si="1"/>
        <v>0.80686167965126065</v>
      </c>
      <c r="L12" s="81"/>
      <c r="N12" s="161" t="s">
        <v>110</v>
      </c>
      <c r="O12" s="162">
        <v>1171592</v>
      </c>
      <c r="P12" s="162">
        <v>323585</v>
      </c>
      <c r="Q12" s="162">
        <v>408790</v>
      </c>
      <c r="R12" s="162">
        <v>1119584</v>
      </c>
      <c r="S12" s="162">
        <v>1200889</v>
      </c>
      <c r="T12" s="162">
        <v>1273163</v>
      </c>
      <c r="U12" s="163">
        <f>IFERROR(T12/S12-1,"-")</f>
        <v>6.0183747207277261E-2</v>
      </c>
      <c r="V12" s="162">
        <f t="shared" si="2"/>
        <v>72274</v>
      </c>
      <c r="W12" s="163">
        <f>T12/T$8</f>
        <v>0.91739990416452</v>
      </c>
    </row>
    <row r="13" spans="1:23" s="58" customFormat="1" x14ac:dyDescent="0.25">
      <c r="B13" s="165" t="s">
        <v>113</v>
      </c>
      <c r="C13" s="166">
        <v>1721079</v>
      </c>
      <c r="D13" s="166">
        <v>436137</v>
      </c>
      <c r="E13" s="166">
        <v>446045</v>
      </c>
      <c r="F13" s="166">
        <v>1722453</v>
      </c>
      <c r="G13" s="166">
        <v>1939573</v>
      </c>
      <c r="H13" s="166">
        <v>2075774</v>
      </c>
      <c r="I13" s="167">
        <f t="shared" ref="I13:I20" si="3">IFERROR(H13/G13-1,"-")</f>
        <v>7.0222157144897324E-2</v>
      </c>
      <c r="J13" s="166">
        <f t="shared" si="0"/>
        <v>136201</v>
      </c>
      <c r="K13" s="167">
        <f t="shared" si="1"/>
        <v>0.37856339247237014</v>
      </c>
      <c r="L13" s="168"/>
      <c r="N13" s="165" t="s">
        <v>113</v>
      </c>
      <c r="O13" s="166">
        <v>640459</v>
      </c>
      <c r="P13" s="166">
        <v>146501</v>
      </c>
      <c r="Q13" s="166">
        <v>142606</v>
      </c>
      <c r="R13" s="166">
        <v>581865</v>
      </c>
      <c r="S13" s="166">
        <v>634686</v>
      </c>
      <c r="T13" s="166">
        <v>683651</v>
      </c>
      <c r="U13" s="167">
        <f t="shared" ref="U13:U20" si="4">IFERROR(T13/S13-1,"-")</f>
        <v>7.7148385185745294E-2</v>
      </c>
      <c r="V13" s="166">
        <f t="shared" si="2"/>
        <v>48965</v>
      </c>
      <c r="W13" s="167">
        <f t="shared" ref="W13:W20" si="5">T13/T$8</f>
        <v>0.49261670491679249</v>
      </c>
    </row>
    <row r="14" spans="1:23" s="58" customFormat="1" x14ac:dyDescent="0.25">
      <c r="B14" s="165" t="s">
        <v>116</v>
      </c>
      <c r="C14" s="166">
        <v>491040</v>
      </c>
      <c r="D14" s="166">
        <v>138922</v>
      </c>
      <c r="E14" s="166">
        <v>222501</v>
      </c>
      <c r="F14" s="166">
        <v>385709</v>
      </c>
      <c r="G14" s="166">
        <v>432804</v>
      </c>
      <c r="H14" s="166">
        <v>447422</v>
      </c>
      <c r="I14" s="167">
        <f t="shared" si="3"/>
        <v>3.377510374210968E-2</v>
      </c>
      <c r="J14" s="166">
        <f t="shared" si="0"/>
        <v>14618</v>
      </c>
      <c r="K14" s="167">
        <f t="shared" si="1"/>
        <v>8.159731752434167E-2</v>
      </c>
      <c r="L14" s="168"/>
      <c r="N14" s="165" t="s">
        <v>116</v>
      </c>
      <c r="O14" s="166">
        <v>52401</v>
      </c>
      <c r="P14" s="166">
        <v>16159</v>
      </c>
      <c r="Q14" s="166">
        <v>21846</v>
      </c>
      <c r="R14" s="166">
        <v>39072</v>
      </c>
      <c r="S14" s="166">
        <v>45119</v>
      </c>
      <c r="T14" s="166">
        <v>44501</v>
      </c>
      <c r="U14" s="167">
        <f t="shared" si="4"/>
        <v>-1.3697112081384799E-2</v>
      </c>
      <c r="V14" s="166">
        <f t="shared" si="2"/>
        <v>-618</v>
      </c>
      <c r="W14" s="167">
        <f t="shared" si="5"/>
        <v>3.2065975162037623E-2</v>
      </c>
    </row>
    <row r="15" spans="1:23" x14ac:dyDescent="0.25">
      <c r="A15" s="1"/>
      <c r="B15" s="165" t="s">
        <v>119</v>
      </c>
      <c r="C15" s="166">
        <v>166950</v>
      </c>
      <c r="D15" s="166">
        <v>58766</v>
      </c>
      <c r="E15" s="166">
        <v>128102</v>
      </c>
      <c r="F15" s="166">
        <v>197280</v>
      </c>
      <c r="G15" s="166">
        <v>215579</v>
      </c>
      <c r="H15" s="166">
        <v>230703</v>
      </c>
      <c r="I15" s="167">
        <f t="shared" si="3"/>
        <v>7.0155256309751834E-2</v>
      </c>
      <c r="J15" s="166">
        <f t="shared" si="0"/>
        <v>15124</v>
      </c>
      <c r="K15" s="167">
        <f t="shared" si="1"/>
        <v>4.2073804919780869E-2</v>
      </c>
      <c r="L15" s="81"/>
      <c r="N15" s="165" t="s">
        <v>119</v>
      </c>
      <c r="O15" s="166">
        <v>24405</v>
      </c>
      <c r="P15" s="166">
        <v>9702</v>
      </c>
      <c r="Q15" s="166">
        <v>19919</v>
      </c>
      <c r="R15" s="166">
        <v>27268</v>
      </c>
      <c r="S15" s="166">
        <v>28878</v>
      </c>
      <c r="T15" s="166">
        <v>29098</v>
      </c>
      <c r="U15" s="167">
        <f t="shared" si="4"/>
        <v>7.6182561119191305E-3</v>
      </c>
      <c r="V15" s="166">
        <f t="shared" si="2"/>
        <v>220</v>
      </c>
      <c r="W15" s="167">
        <f t="shared" si="5"/>
        <v>2.0967073667220303E-2</v>
      </c>
    </row>
    <row r="16" spans="1:23" x14ac:dyDescent="0.25">
      <c r="A16" s="1"/>
      <c r="B16" s="165" t="s">
        <v>126</v>
      </c>
      <c r="C16" s="166">
        <v>137818</v>
      </c>
      <c r="D16" s="166">
        <v>39662</v>
      </c>
      <c r="E16" s="166">
        <v>93209</v>
      </c>
      <c r="F16" s="166">
        <v>169583</v>
      </c>
      <c r="G16" s="166">
        <v>165266</v>
      </c>
      <c r="H16" s="166">
        <v>174746</v>
      </c>
      <c r="I16" s="167">
        <f t="shared" si="3"/>
        <v>5.7362070843367752E-2</v>
      </c>
      <c r="J16" s="166">
        <f t="shared" si="0"/>
        <v>9480</v>
      </c>
      <c r="K16" s="167">
        <f t="shared" si="1"/>
        <v>3.186880584349587E-2</v>
      </c>
      <c r="L16" s="81"/>
      <c r="N16" s="165" t="s">
        <v>126</v>
      </c>
      <c r="O16" s="166">
        <v>53890</v>
      </c>
      <c r="P16" s="166">
        <v>15410</v>
      </c>
      <c r="Q16" s="166">
        <v>30677</v>
      </c>
      <c r="R16" s="166">
        <v>57015</v>
      </c>
      <c r="S16" s="166">
        <v>55474</v>
      </c>
      <c r="T16" s="166">
        <v>57898</v>
      </c>
      <c r="U16" s="167">
        <f t="shared" si="4"/>
        <v>4.3696145942243136E-2</v>
      </c>
      <c r="V16" s="166">
        <f t="shared" si="2"/>
        <v>2424</v>
      </c>
      <c r="W16" s="167">
        <f t="shared" si="5"/>
        <v>4.1719418213785178E-2</v>
      </c>
    </row>
    <row r="17" spans="1:23" x14ac:dyDescent="0.25">
      <c r="A17" s="1"/>
      <c r="B17" s="165" t="s">
        <v>122</v>
      </c>
      <c r="C17" s="166">
        <v>133862</v>
      </c>
      <c r="D17" s="166">
        <v>55544</v>
      </c>
      <c r="E17" s="166">
        <v>93337</v>
      </c>
      <c r="F17" s="166">
        <v>146133</v>
      </c>
      <c r="G17" s="166">
        <v>150942</v>
      </c>
      <c r="H17" s="166">
        <v>157476</v>
      </c>
      <c r="I17" s="167">
        <f t="shared" si="3"/>
        <v>4.3288150415391247E-2</v>
      </c>
      <c r="J17" s="166">
        <f t="shared" si="0"/>
        <v>6534</v>
      </c>
      <c r="K17" s="167">
        <f t="shared" si="1"/>
        <v>2.8719238603517997E-2</v>
      </c>
      <c r="L17" s="81"/>
      <c r="N17" s="165" t="s">
        <v>122</v>
      </c>
      <c r="O17" s="166">
        <v>41202</v>
      </c>
      <c r="P17" s="166">
        <v>15534</v>
      </c>
      <c r="Q17" s="166">
        <v>22807</v>
      </c>
      <c r="R17" s="166">
        <v>38767</v>
      </c>
      <c r="S17" s="166">
        <v>44183</v>
      </c>
      <c r="T17" s="166">
        <v>44633</v>
      </c>
      <c r="U17" s="167">
        <f t="shared" si="4"/>
        <v>1.0184912749247488E-2</v>
      </c>
      <c r="V17" s="166">
        <f t="shared" si="2"/>
        <v>450</v>
      </c>
      <c r="W17" s="167">
        <f t="shared" si="5"/>
        <v>3.2161090074542709E-2</v>
      </c>
    </row>
    <row r="18" spans="1:23" x14ac:dyDescent="0.25">
      <c r="A18" s="1"/>
      <c r="B18" s="165" t="s">
        <v>131</v>
      </c>
      <c r="C18" s="166">
        <v>74390</v>
      </c>
      <c r="D18" s="166">
        <v>28784</v>
      </c>
      <c r="E18" s="166">
        <v>25400</v>
      </c>
      <c r="F18" s="166">
        <v>62340</v>
      </c>
      <c r="G18" s="166">
        <v>67941</v>
      </c>
      <c r="H18" s="166">
        <v>63693</v>
      </c>
      <c r="I18" s="167">
        <f t="shared" si="3"/>
        <v>-6.2524837726851246E-2</v>
      </c>
      <c r="J18" s="166">
        <f t="shared" si="0"/>
        <v>-4248</v>
      </c>
      <c r="K18" s="167">
        <f t="shared" si="1"/>
        <v>1.1615830122519443E-2</v>
      </c>
      <c r="L18" s="81"/>
      <c r="N18" s="165" t="s">
        <v>131</v>
      </c>
      <c r="O18" s="166">
        <v>26919</v>
      </c>
      <c r="P18" s="166">
        <v>9750</v>
      </c>
      <c r="Q18" s="166">
        <v>10533</v>
      </c>
      <c r="R18" s="166">
        <v>22457</v>
      </c>
      <c r="S18" s="166">
        <v>23504</v>
      </c>
      <c r="T18" s="166">
        <v>22219</v>
      </c>
      <c r="U18" s="167">
        <f t="shared" si="4"/>
        <v>-5.4671545268890398E-2</v>
      </c>
      <c r="V18" s="166">
        <f t="shared" si="2"/>
        <v>-1285</v>
      </c>
      <c r="W18" s="167">
        <f t="shared" si="5"/>
        <v>1.6010289704171007E-2</v>
      </c>
    </row>
    <row r="19" spans="1:23" x14ac:dyDescent="0.25">
      <c r="A19" s="164" t="s">
        <v>147</v>
      </c>
      <c r="B19" s="165" t="s">
        <v>134</v>
      </c>
      <c r="C19" s="166">
        <v>106028</v>
      </c>
      <c r="D19" s="166">
        <v>42711</v>
      </c>
      <c r="E19" s="166">
        <v>22147</v>
      </c>
      <c r="F19" s="166">
        <v>56752</v>
      </c>
      <c r="G19" s="166">
        <v>70961</v>
      </c>
      <c r="H19" s="166">
        <v>68906</v>
      </c>
      <c r="I19" s="167">
        <f t="shared" si="3"/>
        <v>-2.89595693409056E-2</v>
      </c>
      <c r="J19" s="166">
        <f t="shared" si="0"/>
        <v>-2055</v>
      </c>
      <c r="K19" s="167">
        <f t="shared" si="1"/>
        <v>1.2566536203700952E-2</v>
      </c>
      <c r="L19" s="81"/>
      <c r="N19" s="165" t="s">
        <v>134</v>
      </c>
      <c r="O19" s="166">
        <v>42509</v>
      </c>
      <c r="P19" s="166">
        <v>16737</v>
      </c>
      <c r="Q19" s="166">
        <v>10472</v>
      </c>
      <c r="R19" s="166">
        <v>22560</v>
      </c>
      <c r="S19" s="166">
        <v>26526</v>
      </c>
      <c r="T19" s="166">
        <v>24735</v>
      </c>
      <c r="U19" s="167">
        <f t="shared" si="4"/>
        <v>-6.7518660936439767E-2</v>
      </c>
      <c r="V19" s="166">
        <f t="shared" si="2"/>
        <v>-1791</v>
      </c>
      <c r="W19" s="167">
        <f t="shared" si="5"/>
        <v>1.7823237581919518E-2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952849</v>
      </c>
      <c r="D20" s="171">
        <f t="shared" si="6"/>
        <v>308094</v>
      </c>
      <c r="E20" s="171">
        <f t="shared" si="6"/>
        <v>504396</v>
      </c>
      <c r="F20" s="171">
        <f t="shared" si="6"/>
        <v>1000652</v>
      </c>
      <c r="G20" s="171">
        <f t="shared" si="6"/>
        <v>1103326</v>
      </c>
      <c r="H20" s="171">
        <f t="shared" si="6"/>
        <v>1205539</v>
      </c>
      <c r="I20" s="172">
        <f t="shared" si="3"/>
        <v>9.2640797008318509E-2</v>
      </c>
      <c r="J20" s="171">
        <f t="shared" si="0"/>
        <v>102213</v>
      </c>
      <c r="K20" s="172">
        <f t="shared" si="1"/>
        <v>0.2198567539615337</v>
      </c>
      <c r="L20" s="81"/>
      <c r="N20" s="170" t="s">
        <v>148</v>
      </c>
      <c r="O20" s="171">
        <f t="shared" ref="O20:T20" si="7">O12-SUM(O13:O19)</f>
        <v>289807</v>
      </c>
      <c r="P20" s="171">
        <f t="shared" si="7"/>
        <v>93792</v>
      </c>
      <c r="Q20" s="171">
        <f t="shared" si="7"/>
        <v>149930</v>
      </c>
      <c r="R20" s="171">
        <f t="shared" si="7"/>
        <v>330580</v>
      </c>
      <c r="S20" s="171">
        <f t="shared" si="7"/>
        <v>342519</v>
      </c>
      <c r="T20" s="171">
        <f t="shared" si="7"/>
        <v>366428</v>
      </c>
      <c r="U20" s="172">
        <f t="shared" si="4"/>
        <v>6.9803426963175763E-2</v>
      </c>
      <c r="V20" s="171">
        <f>T20-S20</f>
        <v>23909</v>
      </c>
      <c r="W20" s="172">
        <f t="shared" si="5"/>
        <v>0.26403611484405115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1762715</v>
      </c>
      <c r="D22" s="159">
        <v>550867</v>
      </c>
      <c r="E22" s="159">
        <v>881045</v>
      </c>
      <c r="F22" s="159">
        <v>1757049</v>
      </c>
      <c r="G22" s="159">
        <v>1888751</v>
      </c>
      <c r="H22" s="159">
        <v>1938929</v>
      </c>
      <c r="I22" s="160">
        <f>IFERROR(H22/G22-1,"-")</f>
        <v>2.6566762903103669E-2</v>
      </c>
      <c r="J22" s="159">
        <f>H22-G22</f>
        <v>50178</v>
      </c>
      <c r="K22" s="160">
        <f>H22/H$8</f>
        <v>0.35360667394574757</v>
      </c>
      <c r="L22" s="107"/>
      <c r="M22" s="107"/>
      <c r="N22" s="107"/>
    </row>
    <row r="23" spans="1:23" x14ac:dyDescent="0.25">
      <c r="B23" s="161" t="s">
        <v>100</v>
      </c>
      <c r="C23" s="162">
        <v>222987</v>
      </c>
      <c r="D23" s="162">
        <v>117997</v>
      </c>
      <c r="E23" s="162">
        <v>247584</v>
      </c>
      <c r="F23" s="162">
        <v>207208</v>
      </c>
      <c r="G23" s="162">
        <v>181700</v>
      </c>
      <c r="H23" s="162">
        <v>161848</v>
      </c>
      <c r="I23" s="163">
        <f>IFERROR(H23/G23-1,"-")</f>
        <v>-0.1092570170610897</v>
      </c>
      <c r="J23" s="162">
        <f t="shared" ref="J23:J33" si="8">H23-G23</f>
        <v>-19852</v>
      </c>
      <c r="K23" s="163">
        <f>H23/H$8</f>
        <v>2.9516569696348527E-2</v>
      </c>
    </row>
    <row r="24" spans="1:23" x14ac:dyDescent="0.25">
      <c r="B24" s="165" t="s">
        <v>106</v>
      </c>
      <c r="C24" s="166">
        <v>113067</v>
      </c>
      <c r="D24" s="166">
        <v>68476</v>
      </c>
      <c r="E24" s="166">
        <v>126666</v>
      </c>
      <c r="F24" s="166">
        <v>86811</v>
      </c>
      <c r="G24" s="166">
        <v>75361</v>
      </c>
      <c r="H24" s="166">
        <v>60679</v>
      </c>
      <c r="I24" s="167">
        <f>IFERROR(H24/G24-1,"-")</f>
        <v>-0.19482225554331811</v>
      </c>
      <c r="J24" s="166">
        <f t="shared" si="8"/>
        <v>-14682</v>
      </c>
      <c r="K24" s="167">
        <f>H24/H$8</f>
        <v>1.1066160425860883E-2</v>
      </c>
    </row>
    <row r="25" spans="1:23" x14ac:dyDescent="0.25">
      <c r="B25" s="165" t="s">
        <v>12</v>
      </c>
      <c r="C25" s="166">
        <v>109920</v>
      </c>
      <c r="D25" s="166">
        <v>49521</v>
      </c>
      <c r="E25" s="166">
        <v>120918</v>
      </c>
      <c r="F25" s="166">
        <v>120397</v>
      </c>
      <c r="G25" s="166">
        <v>106339</v>
      </c>
      <c r="H25" s="166">
        <v>101169</v>
      </c>
      <c r="I25" s="167">
        <f>IFERROR(H25/G25-1,"-")</f>
        <v>-4.8618098722011727E-2</v>
      </c>
      <c r="J25" s="166">
        <f t="shared" si="8"/>
        <v>-5170</v>
      </c>
      <c r="K25" s="167">
        <f>H25/H$8</f>
        <v>1.8450409270487644E-2</v>
      </c>
    </row>
    <row r="26" spans="1:23" x14ac:dyDescent="0.25">
      <c r="B26" s="161" t="s">
        <v>110</v>
      </c>
      <c r="C26" s="162">
        <v>1539728</v>
      </c>
      <c r="D26" s="162">
        <v>432870</v>
      </c>
      <c r="E26" s="162">
        <v>633461</v>
      </c>
      <c r="F26" s="162">
        <v>1549841</v>
      </c>
      <c r="G26" s="162">
        <v>1707051</v>
      </c>
      <c r="H26" s="162">
        <v>1777081</v>
      </c>
      <c r="I26" s="163">
        <f>IFERROR(H26/G26-1,"-")</f>
        <v>4.1023964720444894E-2</v>
      </c>
      <c r="J26" s="162">
        <f t="shared" si="8"/>
        <v>70030</v>
      </c>
      <c r="K26" s="163">
        <f>H26/H$8</f>
        <v>0.32409010424939905</v>
      </c>
    </row>
    <row r="27" spans="1:23" x14ac:dyDescent="0.25">
      <c r="B27" s="165" t="s">
        <v>113</v>
      </c>
      <c r="C27" s="166">
        <v>757594</v>
      </c>
      <c r="D27" s="166">
        <v>187852</v>
      </c>
      <c r="E27" s="166">
        <v>208305</v>
      </c>
      <c r="F27" s="166">
        <v>783677</v>
      </c>
      <c r="G27" s="166">
        <v>883804</v>
      </c>
      <c r="H27" s="166">
        <v>930359</v>
      </c>
      <c r="I27" s="167">
        <f t="shared" ref="I27:I34" si="9">IFERROR(H27/G27-1,"-")</f>
        <v>5.2675706378337184E-2</v>
      </c>
      <c r="J27" s="166">
        <f t="shared" si="8"/>
        <v>46555</v>
      </c>
      <c r="K27" s="167">
        <f t="shared" ref="K27:K34" si="10">H27/H$8</f>
        <v>0.16967158238671542</v>
      </c>
    </row>
    <row r="28" spans="1:23" x14ac:dyDescent="0.25">
      <c r="B28" s="165" t="s">
        <v>116</v>
      </c>
      <c r="C28" s="166">
        <v>201016</v>
      </c>
      <c r="D28" s="166">
        <v>57141</v>
      </c>
      <c r="E28" s="166">
        <v>103865</v>
      </c>
      <c r="F28" s="166">
        <v>169299</v>
      </c>
      <c r="G28" s="166">
        <v>182561</v>
      </c>
      <c r="H28" s="166">
        <v>183463</v>
      </c>
      <c r="I28" s="167">
        <f t="shared" si="9"/>
        <v>4.9408143031643981E-3</v>
      </c>
      <c r="J28" s="166">
        <f t="shared" si="8"/>
        <v>902</v>
      </c>
      <c r="K28" s="167">
        <f t="shared" si="10"/>
        <v>3.345854398077943E-2</v>
      </c>
    </row>
    <row r="29" spans="1:23" x14ac:dyDescent="0.25">
      <c r="B29" s="165" t="s">
        <v>119</v>
      </c>
      <c r="C29" s="166">
        <v>52571</v>
      </c>
      <c r="D29" s="166">
        <v>20504</v>
      </c>
      <c r="E29" s="166">
        <v>42447</v>
      </c>
      <c r="F29" s="166">
        <v>63176</v>
      </c>
      <c r="G29" s="166">
        <v>65408</v>
      </c>
      <c r="H29" s="166">
        <v>57978</v>
      </c>
      <c r="I29" s="167">
        <f t="shared" si="9"/>
        <v>-0.11359466731898238</v>
      </c>
      <c r="J29" s="166">
        <f t="shared" si="8"/>
        <v>-7430</v>
      </c>
      <c r="K29" s="167">
        <f t="shared" si="10"/>
        <v>1.0573573215948883E-2</v>
      </c>
    </row>
    <row r="30" spans="1:23" x14ac:dyDescent="0.25">
      <c r="B30" s="165" t="s">
        <v>126</v>
      </c>
      <c r="C30" s="166">
        <v>61428</v>
      </c>
      <c r="D30" s="166">
        <v>17078</v>
      </c>
      <c r="E30" s="166">
        <v>41550</v>
      </c>
      <c r="F30" s="166">
        <v>75901</v>
      </c>
      <c r="G30" s="166">
        <v>70876</v>
      </c>
      <c r="H30" s="166">
        <v>71598</v>
      </c>
      <c r="I30" s="167">
        <f t="shared" si="9"/>
        <v>1.0186805124442699E-2</v>
      </c>
      <c r="J30" s="166">
        <f t="shared" si="8"/>
        <v>722</v>
      </c>
      <c r="K30" s="167">
        <f t="shared" si="10"/>
        <v>1.3057482064153785E-2</v>
      </c>
    </row>
    <row r="31" spans="1:23" x14ac:dyDescent="0.25">
      <c r="B31" s="165" t="s">
        <v>122</v>
      </c>
      <c r="C31" s="166">
        <v>70272</v>
      </c>
      <c r="D31" s="166">
        <v>28980</v>
      </c>
      <c r="E31" s="166">
        <v>51893</v>
      </c>
      <c r="F31" s="166">
        <v>82793</v>
      </c>
      <c r="G31" s="166">
        <v>80269</v>
      </c>
      <c r="H31" s="166">
        <v>81717</v>
      </c>
      <c r="I31" s="167">
        <f t="shared" si="9"/>
        <v>1.8039342710137074E-2</v>
      </c>
      <c r="J31" s="166">
        <f t="shared" si="8"/>
        <v>1448</v>
      </c>
      <c r="K31" s="167">
        <f t="shared" si="10"/>
        <v>1.4902905972743021E-2</v>
      </c>
    </row>
    <row r="32" spans="1:23" x14ac:dyDescent="0.25">
      <c r="B32" s="165" t="s">
        <v>131</v>
      </c>
      <c r="C32" s="166">
        <v>30964</v>
      </c>
      <c r="D32" s="166">
        <v>11625</v>
      </c>
      <c r="E32" s="166">
        <v>7603</v>
      </c>
      <c r="F32" s="166">
        <v>22864</v>
      </c>
      <c r="G32" s="166">
        <v>24584</v>
      </c>
      <c r="H32" s="166">
        <v>24160</v>
      </c>
      <c r="I32" s="167">
        <f t="shared" si="9"/>
        <v>-1.7246989912138022E-2</v>
      </c>
      <c r="J32" s="166">
        <f t="shared" si="8"/>
        <v>-424</v>
      </c>
      <c r="K32" s="167">
        <f t="shared" si="10"/>
        <v>4.4061114370506924E-3</v>
      </c>
    </row>
    <row r="33" spans="2:14" x14ac:dyDescent="0.25">
      <c r="B33" s="165" t="s">
        <v>134</v>
      </c>
      <c r="C33" s="166">
        <v>35546</v>
      </c>
      <c r="D33" s="166">
        <v>13377</v>
      </c>
      <c r="E33" s="166">
        <v>5465</v>
      </c>
      <c r="F33" s="166">
        <v>19705</v>
      </c>
      <c r="G33" s="166">
        <v>25664</v>
      </c>
      <c r="H33" s="166">
        <v>23273</v>
      </c>
      <c r="I33" s="167">
        <f t="shared" si="9"/>
        <v>-9.3165523690773022E-2</v>
      </c>
      <c r="J33" s="166">
        <f t="shared" si="8"/>
        <v>-2391</v>
      </c>
      <c r="K33" s="167">
        <f t="shared" si="10"/>
        <v>4.2443473292417527E-3</v>
      </c>
    </row>
    <row r="34" spans="2:14" x14ac:dyDescent="0.25">
      <c r="B34" s="170" t="s">
        <v>148</v>
      </c>
      <c r="C34" s="171">
        <f t="shared" ref="C34:H34" si="11">C26-SUM(C27:C33)</f>
        <v>330337</v>
      </c>
      <c r="D34" s="171">
        <f t="shared" si="11"/>
        <v>96313</v>
      </c>
      <c r="E34" s="171">
        <f t="shared" si="11"/>
        <v>172333</v>
      </c>
      <c r="F34" s="171">
        <f t="shared" si="11"/>
        <v>332426</v>
      </c>
      <c r="G34" s="171">
        <f t="shared" si="11"/>
        <v>373885</v>
      </c>
      <c r="H34" s="171">
        <f t="shared" si="11"/>
        <v>404533</v>
      </c>
      <c r="I34" s="172">
        <f t="shared" si="9"/>
        <v>8.1971729275044369E-2</v>
      </c>
      <c r="J34" s="171">
        <f>H34-G34</f>
        <v>30648</v>
      </c>
      <c r="K34" s="172">
        <f t="shared" si="10"/>
        <v>7.3775557862766045E-2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1299411</v>
      </c>
      <c r="D36" s="159">
        <v>375345</v>
      </c>
      <c r="E36" s="159">
        <v>492258</v>
      </c>
      <c r="F36" s="159">
        <v>1243535</v>
      </c>
      <c r="G36" s="159">
        <v>1320376</v>
      </c>
      <c r="H36" s="159">
        <v>1387795</v>
      </c>
      <c r="I36" s="160">
        <f>IFERROR(H36/G36-1,"-")</f>
        <v>5.10604555066132E-2</v>
      </c>
      <c r="J36" s="159">
        <f>H36-G36</f>
        <v>67419</v>
      </c>
      <c r="K36" s="160">
        <f>H36/H$8</f>
        <v>0.25309517474262272</v>
      </c>
      <c r="L36" s="107"/>
      <c r="M36" s="107"/>
      <c r="N36" s="107"/>
    </row>
    <row r="37" spans="2:14" x14ac:dyDescent="0.25">
      <c r="B37" s="161" t="s">
        <v>100</v>
      </c>
      <c r="C37" s="162">
        <v>127819</v>
      </c>
      <c r="D37" s="162">
        <v>51760</v>
      </c>
      <c r="E37" s="162">
        <v>83468</v>
      </c>
      <c r="F37" s="162">
        <v>123951</v>
      </c>
      <c r="G37" s="162">
        <v>119487</v>
      </c>
      <c r="H37" s="162">
        <v>114632</v>
      </c>
      <c r="I37" s="163">
        <f>IFERROR(H37/G37-1,"-")</f>
        <v>-4.063203528417314E-2</v>
      </c>
      <c r="J37" s="162">
        <f t="shared" ref="J37:J47" si="12">H37-G37</f>
        <v>-4855</v>
      </c>
      <c r="K37" s="163">
        <f>H37/H$8</f>
        <v>2.0905685689238201E-2</v>
      </c>
    </row>
    <row r="38" spans="2:14" x14ac:dyDescent="0.25">
      <c r="B38" s="165" t="s">
        <v>106</v>
      </c>
      <c r="C38" s="166">
        <v>51328</v>
      </c>
      <c r="D38" s="166">
        <v>24912</v>
      </c>
      <c r="E38" s="166">
        <v>43482</v>
      </c>
      <c r="F38" s="166">
        <v>48094</v>
      </c>
      <c r="G38" s="166">
        <v>52610</v>
      </c>
      <c r="H38" s="166">
        <v>50222</v>
      </c>
      <c r="I38" s="167">
        <f>IFERROR(H38/G38-1,"-")</f>
        <v>-4.5390610150161548E-2</v>
      </c>
      <c r="J38" s="166">
        <f t="shared" si="12"/>
        <v>-2388</v>
      </c>
      <c r="K38" s="167">
        <f>H38/H$8</f>
        <v>9.1590947264718475E-3</v>
      </c>
    </row>
    <row r="39" spans="2:14" x14ac:dyDescent="0.25">
      <c r="B39" s="165" t="s">
        <v>103</v>
      </c>
      <c r="C39" s="166">
        <v>76491</v>
      </c>
      <c r="D39" s="166">
        <v>26848</v>
      </c>
      <c r="E39" s="166">
        <v>39986</v>
      </c>
      <c r="F39" s="166">
        <v>75857</v>
      </c>
      <c r="G39" s="166">
        <v>66877</v>
      </c>
      <c r="H39" s="166">
        <v>64410</v>
      </c>
      <c r="I39" s="167">
        <f>IFERROR(H39/G39-1,"-")</f>
        <v>-3.6888616415210018E-2</v>
      </c>
      <c r="J39" s="166">
        <f t="shared" si="12"/>
        <v>-2467</v>
      </c>
      <c r="K39" s="167">
        <f>H39/H$8</f>
        <v>1.1746590962766352E-2</v>
      </c>
    </row>
    <row r="40" spans="2:14" x14ac:dyDescent="0.25">
      <c r="B40" s="161" t="s">
        <v>110</v>
      </c>
      <c r="C40" s="162">
        <v>1171592</v>
      </c>
      <c r="D40" s="162">
        <v>323585</v>
      </c>
      <c r="E40" s="162">
        <v>408790</v>
      </c>
      <c r="F40" s="162">
        <v>1119584</v>
      </c>
      <c r="G40" s="162">
        <v>1200889</v>
      </c>
      <c r="H40" s="162">
        <v>1273163</v>
      </c>
      <c r="I40" s="163">
        <f>IFERROR(H40/G40-1,"-")</f>
        <v>6.0183747207277261E-2</v>
      </c>
      <c r="J40" s="162">
        <f t="shared" si="12"/>
        <v>72274</v>
      </c>
      <c r="K40" s="163">
        <f>H40/H$8</f>
        <v>0.23218948905338452</v>
      </c>
    </row>
    <row r="41" spans="2:14" x14ac:dyDescent="0.25">
      <c r="B41" s="165" t="s">
        <v>113</v>
      </c>
      <c r="C41" s="166">
        <v>640459</v>
      </c>
      <c r="D41" s="166">
        <v>146501</v>
      </c>
      <c r="E41" s="166">
        <v>142606</v>
      </c>
      <c r="F41" s="166">
        <v>581865</v>
      </c>
      <c r="G41" s="166">
        <v>634686</v>
      </c>
      <c r="H41" s="166">
        <v>683651</v>
      </c>
      <c r="I41" s="167">
        <f t="shared" ref="I41:I48" si="13">IFERROR(H41/G41-1,"-")</f>
        <v>7.7148385185745294E-2</v>
      </c>
      <c r="J41" s="166">
        <f t="shared" si="12"/>
        <v>48965</v>
      </c>
      <c r="K41" s="167">
        <f t="shared" ref="K41:K48" si="14">H41/H$8</f>
        <v>0.1246789110120506</v>
      </c>
    </row>
    <row r="42" spans="2:14" x14ac:dyDescent="0.25">
      <c r="B42" s="165" t="s">
        <v>116</v>
      </c>
      <c r="C42" s="166">
        <v>52401</v>
      </c>
      <c r="D42" s="166">
        <v>16159</v>
      </c>
      <c r="E42" s="166">
        <v>21846</v>
      </c>
      <c r="F42" s="166">
        <v>39072</v>
      </c>
      <c r="G42" s="166">
        <v>45119</v>
      </c>
      <c r="H42" s="166">
        <v>44501</v>
      </c>
      <c r="I42" s="167">
        <f t="shared" si="13"/>
        <v>-1.3697112081384799E-2</v>
      </c>
      <c r="J42" s="166">
        <f t="shared" si="12"/>
        <v>-618</v>
      </c>
      <c r="K42" s="167">
        <f t="shared" si="14"/>
        <v>8.1157435869285109E-3</v>
      </c>
    </row>
    <row r="43" spans="2:14" x14ac:dyDescent="0.25">
      <c r="B43" s="165" t="s">
        <v>119</v>
      </c>
      <c r="C43" s="166">
        <v>24405</v>
      </c>
      <c r="D43" s="166">
        <v>9702</v>
      </c>
      <c r="E43" s="166">
        <v>19919</v>
      </c>
      <c r="F43" s="166">
        <v>27268</v>
      </c>
      <c r="G43" s="166">
        <v>28878</v>
      </c>
      <c r="H43" s="166">
        <v>29098</v>
      </c>
      <c r="I43" s="167">
        <f t="shared" si="13"/>
        <v>7.6182561119191305E-3</v>
      </c>
      <c r="J43" s="166">
        <f t="shared" si="12"/>
        <v>220</v>
      </c>
      <c r="K43" s="167">
        <f t="shared" si="14"/>
        <v>5.3066651736465662E-3</v>
      </c>
    </row>
    <row r="44" spans="2:14" x14ac:dyDescent="0.25">
      <c r="B44" s="165" t="s">
        <v>126</v>
      </c>
      <c r="C44" s="166">
        <v>53890</v>
      </c>
      <c r="D44" s="166">
        <v>15410</v>
      </c>
      <c r="E44" s="166">
        <v>30677</v>
      </c>
      <c r="F44" s="166">
        <v>57015</v>
      </c>
      <c r="G44" s="166">
        <v>55474</v>
      </c>
      <c r="H44" s="166">
        <v>57898</v>
      </c>
      <c r="I44" s="167">
        <f t="shared" si="13"/>
        <v>4.3696145942243136E-2</v>
      </c>
      <c r="J44" s="166">
        <f t="shared" si="12"/>
        <v>2424</v>
      </c>
      <c r="K44" s="167">
        <f t="shared" si="14"/>
        <v>1.0558983442978516E-2</v>
      </c>
    </row>
    <row r="45" spans="2:14" x14ac:dyDescent="0.25">
      <c r="B45" s="165" t="s">
        <v>122</v>
      </c>
      <c r="C45" s="166">
        <v>41202</v>
      </c>
      <c r="D45" s="166">
        <v>15534</v>
      </c>
      <c r="E45" s="166">
        <v>22807</v>
      </c>
      <c r="F45" s="166">
        <v>38767</v>
      </c>
      <c r="G45" s="166">
        <v>44183</v>
      </c>
      <c r="H45" s="166">
        <v>44633</v>
      </c>
      <c r="I45" s="167">
        <f t="shared" si="13"/>
        <v>1.0184912749247488E-2</v>
      </c>
      <c r="J45" s="166">
        <f t="shared" si="12"/>
        <v>450</v>
      </c>
      <c r="K45" s="167">
        <f t="shared" si="14"/>
        <v>8.1398167123296165E-3</v>
      </c>
    </row>
    <row r="46" spans="2:14" x14ac:dyDescent="0.25">
      <c r="B46" s="165" t="s">
        <v>131</v>
      </c>
      <c r="C46" s="166">
        <v>26919</v>
      </c>
      <c r="D46" s="166">
        <v>9750</v>
      </c>
      <c r="E46" s="166">
        <v>10533</v>
      </c>
      <c r="F46" s="166">
        <v>22457</v>
      </c>
      <c r="G46" s="166">
        <v>23504</v>
      </c>
      <c r="H46" s="166">
        <v>22219</v>
      </c>
      <c r="I46" s="167">
        <f t="shared" si="13"/>
        <v>-5.4671545268890398E-2</v>
      </c>
      <c r="J46" s="166">
        <f t="shared" si="12"/>
        <v>-1285</v>
      </c>
      <c r="K46" s="167">
        <f t="shared" si="14"/>
        <v>4.0521270703571741E-3</v>
      </c>
    </row>
    <row r="47" spans="2:14" x14ac:dyDescent="0.25">
      <c r="B47" s="165" t="s">
        <v>134</v>
      </c>
      <c r="C47" s="166">
        <v>42509</v>
      </c>
      <c r="D47" s="166">
        <v>16737</v>
      </c>
      <c r="E47" s="166">
        <v>10472</v>
      </c>
      <c r="F47" s="166">
        <v>22560</v>
      </c>
      <c r="G47" s="166">
        <v>26526</v>
      </c>
      <c r="H47" s="166">
        <v>24735</v>
      </c>
      <c r="I47" s="167">
        <f t="shared" si="13"/>
        <v>-6.7518660936439767E-2</v>
      </c>
      <c r="J47" s="166">
        <f t="shared" si="12"/>
        <v>-1791</v>
      </c>
      <c r="K47" s="167">
        <f t="shared" si="14"/>
        <v>4.5109754302752013E-3</v>
      </c>
    </row>
    <row r="48" spans="2:14" x14ac:dyDescent="0.25">
      <c r="B48" s="170" t="s">
        <v>148</v>
      </c>
      <c r="C48" s="171">
        <f t="shared" ref="C48:H48" si="15">C40-SUM(C41:C47)</f>
        <v>289807</v>
      </c>
      <c r="D48" s="171">
        <f t="shared" si="15"/>
        <v>93792</v>
      </c>
      <c r="E48" s="171">
        <f t="shared" si="15"/>
        <v>149930</v>
      </c>
      <c r="F48" s="171">
        <f t="shared" si="15"/>
        <v>330580</v>
      </c>
      <c r="G48" s="171">
        <f t="shared" si="15"/>
        <v>342519</v>
      </c>
      <c r="H48" s="171">
        <f t="shared" si="15"/>
        <v>366428</v>
      </c>
      <c r="I48" s="172">
        <f t="shared" si="13"/>
        <v>6.9803426963175763E-2</v>
      </c>
      <c r="J48" s="171">
        <f>H48-G48</f>
        <v>23909</v>
      </c>
      <c r="K48" s="172">
        <f t="shared" si="14"/>
        <v>6.6826266624818331E-2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45076</v>
      </c>
      <c r="D50" s="159">
        <v>12633</v>
      </c>
      <c r="E50" s="159">
        <v>20161</v>
      </c>
      <c r="F50" s="159">
        <v>37751</v>
      </c>
      <c r="G50" s="159">
        <v>51211</v>
      </c>
      <c r="H50" s="159">
        <v>45051</v>
      </c>
      <c r="I50" s="160">
        <f>IFERROR(H50/G50-1,"-")</f>
        <v>-0.12028665716350007</v>
      </c>
      <c r="J50" s="159">
        <f>H50-G50</f>
        <v>-6160</v>
      </c>
      <c r="K50" s="160">
        <f>H50/H$8</f>
        <v>8.216048276099782E-3</v>
      </c>
      <c r="L50" s="107"/>
      <c r="M50" s="107"/>
      <c r="N50" s="107"/>
    </row>
    <row r="51" spans="2:14" x14ac:dyDescent="0.25">
      <c r="B51" s="161" t="s">
        <v>100</v>
      </c>
      <c r="C51" s="162">
        <v>10509</v>
      </c>
      <c r="D51" s="162">
        <v>2339</v>
      </c>
      <c r="E51" s="162">
        <v>4950</v>
      </c>
      <c r="F51" s="162">
        <v>6762</v>
      </c>
      <c r="G51" s="162">
        <v>20295</v>
      </c>
      <c r="H51" s="162">
        <v>11990</v>
      </c>
      <c r="I51" s="163">
        <f>IFERROR(H51/G51-1,"-")</f>
        <v>-0.40921409214092141</v>
      </c>
      <c r="J51" s="162">
        <f t="shared" ref="J51:J61" si="16">H51-G51</f>
        <v>-8305</v>
      </c>
      <c r="K51" s="163">
        <f>H51/H$8</f>
        <v>2.1866422239336836E-3</v>
      </c>
    </row>
    <row r="52" spans="2:14" x14ac:dyDescent="0.25">
      <c r="B52" s="165" t="s">
        <v>106</v>
      </c>
      <c r="C52" s="166">
        <v>5944</v>
      </c>
      <c r="D52" s="166">
        <v>1658</v>
      </c>
      <c r="E52" s="166">
        <v>2415</v>
      </c>
      <c r="F52" s="166">
        <v>3515</v>
      </c>
      <c r="G52" s="166">
        <v>14856</v>
      </c>
      <c r="H52" s="166">
        <v>7765</v>
      </c>
      <c r="I52" s="167">
        <f>IFERROR(H52/G52-1,"-")</f>
        <v>-0.47731556273559506</v>
      </c>
      <c r="J52" s="166">
        <f t="shared" si="16"/>
        <v>-7091</v>
      </c>
      <c r="K52" s="167">
        <f>H52/H$8</f>
        <v>1.4161198389362013E-3</v>
      </c>
    </row>
    <row r="53" spans="2:14" x14ac:dyDescent="0.25">
      <c r="B53" s="165" t="s">
        <v>103</v>
      </c>
      <c r="C53" s="166">
        <v>4565</v>
      </c>
      <c r="D53" s="166">
        <v>681</v>
      </c>
      <c r="E53" s="166">
        <v>2535</v>
      </c>
      <c r="F53" s="166">
        <v>3247</v>
      </c>
      <c r="G53" s="166">
        <v>5439</v>
      </c>
      <c r="H53" s="166">
        <v>4225</v>
      </c>
      <c r="I53" s="167">
        <f>IFERROR(H53/G53-1,"-")</f>
        <v>-0.22320279463136605</v>
      </c>
      <c r="J53" s="166">
        <f t="shared" si="16"/>
        <v>-1214</v>
      </c>
      <c r="K53" s="167">
        <f>H53/H$8</f>
        <v>7.705223849974824E-4</v>
      </c>
    </row>
    <row r="54" spans="2:14" x14ac:dyDescent="0.25">
      <c r="B54" s="161" t="s">
        <v>110</v>
      </c>
      <c r="C54" s="162">
        <v>34567</v>
      </c>
      <c r="D54" s="162">
        <v>10294</v>
      </c>
      <c r="E54" s="162">
        <v>15211</v>
      </c>
      <c r="F54" s="162">
        <v>30989</v>
      </c>
      <c r="G54" s="162">
        <v>30916</v>
      </c>
      <c r="H54" s="162">
        <v>33061</v>
      </c>
      <c r="I54" s="163">
        <f>IFERROR(H54/G54-1,"-")</f>
        <v>6.9381550006469173E-2</v>
      </c>
      <c r="J54" s="162">
        <f t="shared" si="16"/>
        <v>2145</v>
      </c>
      <c r="K54" s="163">
        <f>H54/H$8</f>
        <v>6.029406052166098E-3</v>
      </c>
    </row>
    <row r="55" spans="2:14" x14ac:dyDescent="0.25">
      <c r="B55" s="165" t="s">
        <v>113</v>
      </c>
      <c r="C55" s="166">
        <v>10275</v>
      </c>
      <c r="D55" s="166">
        <v>3060</v>
      </c>
      <c r="E55" s="166">
        <v>3030</v>
      </c>
      <c r="F55" s="166">
        <v>10352</v>
      </c>
      <c r="G55" s="166">
        <v>9308</v>
      </c>
      <c r="H55" s="166">
        <v>11059</v>
      </c>
      <c r="I55" s="167">
        <f t="shared" ref="I55:I62" si="17">IFERROR(H55/G55-1,"-")</f>
        <v>0.18811774817361404</v>
      </c>
      <c r="J55" s="166">
        <f t="shared" si="16"/>
        <v>1751</v>
      </c>
      <c r="K55" s="167">
        <f t="shared" ref="K55:K62" si="18">H55/H$8</f>
        <v>2.0168537409910431E-3</v>
      </c>
    </row>
    <row r="56" spans="2:14" x14ac:dyDescent="0.25">
      <c r="B56" s="165" t="s">
        <v>116</v>
      </c>
      <c r="C56" s="166">
        <v>9881</v>
      </c>
      <c r="D56" s="166">
        <v>2874</v>
      </c>
      <c r="E56" s="166">
        <v>5150</v>
      </c>
      <c r="F56" s="166">
        <v>6811</v>
      </c>
      <c r="G56" s="166">
        <v>6211</v>
      </c>
      <c r="H56" s="166">
        <v>6329</v>
      </c>
      <c r="I56" s="167">
        <f t="shared" si="17"/>
        <v>1.8998550957977756E-2</v>
      </c>
      <c r="J56" s="166">
        <f t="shared" si="16"/>
        <v>118</v>
      </c>
      <c r="K56" s="167">
        <f t="shared" si="18"/>
        <v>1.1542334141181221E-3</v>
      </c>
    </row>
    <row r="57" spans="2:14" x14ac:dyDescent="0.25">
      <c r="B57" s="165" t="s">
        <v>119</v>
      </c>
      <c r="C57" s="166">
        <v>2186</v>
      </c>
      <c r="D57" s="166">
        <v>544</v>
      </c>
      <c r="E57" s="166">
        <v>1642</v>
      </c>
      <c r="F57" s="166">
        <v>2746</v>
      </c>
      <c r="G57" s="166">
        <v>2942</v>
      </c>
      <c r="H57" s="166">
        <v>2495</v>
      </c>
      <c r="I57" s="167">
        <f t="shared" si="17"/>
        <v>-0.15193745751189669</v>
      </c>
      <c r="J57" s="166">
        <f t="shared" si="16"/>
        <v>-447</v>
      </c>
      <c r="K57" s="167">
        <f t="shared" si="18"/>
        <v>4.5501854451330615E-4</v>
      </c>
    </row>
    <row r="58" spans="2:14" x14ac:dyDescent="0.25">
      <c r="B58" s="165" t="s">
        <v>126</v>
      </c>
      <c r="C58" s="166">
        <v>731</v>
      </c>
      <c r="D58" s="166">
        <v>284</v>
      </c>
      <c r="E58" s="166">
        <v>377</v>
      </c>
      <c r="F58" s="166">
        <v>868</v>
      </c>
      <c r="G58" s="166">
        <v>832</v>
      </c>
      <c r="H58" s="166">
        <v>1068</v>
      </c>
      <c r="I58" s="167">
        <f t="shared" si="17"/>
        <v>0.28365384615384626</v>
      </c>
      <c r="J58" s="166">
        <f t="shared" si="16"/>
        <v>236</v>
      </c>
      <c r="K58" s="167">
        <f t="shared" si="18"/>
        <v>1.9477346915439318E-4</v>
      </c>
    </row>
    <row r="59" spans="2:14" x14ac:dyDescent="0.25">
      <c r="B59" s="165" t="s">
        <v>122</v>
      </c>
      <c r="C59" s="166">
        <v>686</v>
      </c>
      <c r="D59" s="166">
        <v>229</v>
      </c>
      <c r="E59" s="166">
        <v>476</v>
      </c>
      <c r="F59" s="166">
        <v>657</v>
      </c>
      <c r="G59" s="166">
        <v>709</v>
      </c>
      <c r="H59" s="166">
        <v>744</v>
      </c>
      <c r="I59" s="167">
        <f t="shared" si="17"/>
        <v>4.9365303244005565E-2</v>
      </c>
      <c r="J59" s="166">
        <f t="shared" si="16"/>
        <v>35</v>
      </c>
      <c r="K59" s="167">
        <f t="shared" si="18"/>
        <v>1.3568488862440871E-4</v>
      </c>
    </row>
    <row r="60" spans="2:14" x14ac:dyDescent="0.25">
      <c r="B60" s="165" t="s">
        <v>131</v>
      </c>
      <c r="C60" s="166">
        <v>281</v>
      </c>
      <c r="D60" s="166">
        <v>136</v>
      </c>
      <c r="E60" s="166">
        <v>98</v>
      </c>
      <c r="F60" s="166">
        <v>136</v>
      </c>
      <c r="G60" s="166">
        <v>243</v>
      </c>
      <c r="H60" s="166">
        <v>145</v>
      </c>
      <c r="I60" s="167">
        <f t="shared" si="17"/>
        <v>-0.4032921810699589</v>
      </c>
      <c r="J60" s="166">
        <f t="shared" si="16"/>
        <v>-98</v>
      </c>
      <c r="K60" s="167">
        <f t="shared" si="18"/>
        <v>2.6443963508789335E-5</v>
      </c>
    </row>
    <row r="61" spans="2:14" x14ac:dyDescent="0.25">
      <c r="B61" s="165" t="s">
        <v>134</v>
      </c>
      <c r="C61" s="166">
        <v>591</v>
      </c>
      <c r="D61" s="166">
        <v>217</v>
      </c>
      <c r="E61" s="166">
        <v>91</v>
      </c>
      <c r="F61" s="166">
        <v>153</v>
      </c>
      <c r="G61" s="166">
        <v>195</v>
      </c>
      <c r="H61" s="166">
        <v>160</v>
      </c>
      <c r="I61" s="167">
        <f t="shared" si="17"/>
        <v>-0.17948717948717952</v>
      </c>
      <c r="J61" s="166">
        <f t="shared" si="16"/>
        <v>-35</v>
      </c>
      <c r="K61" s="167">
        <f t="shared" si="18"/>
        <v>2.9179545940733061E-5</v>
      </c>
    </row>
    <row r="62" spans="2:14" x14ac:dyDescent="0.25">
      <c r="B62" s="170" t="s">
        <v>148</v>
      </c>
      <c r="C62" s="171">
        <f t="shared" ref="C62:H62" si="19">C54-SUM(C55:C61)</f>
        <v>9936</v>
      </c>
      <c r="D62" s="171">
        <f t="shared" si="19"/>
        <v>2950</v>
      </c>
      <c r="E62" s="171">
        <f t="shared" si="19"/>
        <v>4347</v>
      </c>
      <c r="F62" s="171">
        <f t="shared" si="19"/>
        <v>9266</v>
      </c>
      <c r="G62" s="171">
        <f t="shared" si="19"/>
        <v>10476</v>
      </c>
      <c r="H62" s="171">
        <f t="shared" si="19"/>
        <v>11061</v>
      </c>
      <c r="I62" s="172">
        <f t="shared" si="17"/>
        <v>5.5841924398625453E-2</v>
      </c>
      <c r="J62" s="171">
        <f>H62-G62</f>
        <v>585</v>
      </c>
      <c r="K62" s="172">
        <f t="shared" si="18"/>
        <v>2.0172184853153021E-3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137126</v>
      </c>
      <c r="D64" s="159">
        <v>55313</v>
      </c>
      <c r="E64" s="159">
        <v>70304</v>
      </c>
      <c r="F64" s="159">
        <v>161080</v>
      </c>
      <c r="G64" s="159">
        <v>173648</v>
      </c>
      <c r="H64" s="159">
        <v>231856</v>
      </c>
      <c r="I64" s="160">
        <f>IFERROR(H64/G64-1,"-")</f>
        <v>0.33520685524739702</v>
      </c>
      <c r="J64" s="159">
        <f>H64-G64</f>
        <v>58208</v>
      </c>
      <c r="K64" s="160">
        <f>H64/H$8</f>
        <v>4.2284080022716275E-2</v>
      </c>
      <c r="L64" s="107"/>
      <c r="M64" s="107"/>
      <c r="N64" s="107"/>
    </row>
    <row r="65" spans="2:14" x14ac:dyDescent="0.25">
      <c r="B65" s="161" t="s">
        <v>100</v>
      </c>
      <c r="C65" s="162">
        <v>41904</v>
      </c>
      <c r="D65" s="162">
        <v>24273</v>
      </c>
      <c r="E65" s="162">
        <v>26311</v>
      </c>
      <c r="F65" s="162">
        <v>32375</v>
      </c>
      <c r="G65" s="162">
        <v>43847</v>
      </c>
      <c r="H65" s="162">
        <v>61312</v>
      </c>
      <c r="I65" s="163">
        <f>IFERROR(H65/G65-1,"-")</f>
        <v>0.39831687458663079</v>
      </c>
      <c r="J65" s="162">
        <f t="shared" ref="J65:J75" si="20">H65-G65</f>
        <v>17465</v>
      </c>
      <c r="K65" s="163">
        <f>H65/H$8</f>
        <v>1.1181602004488908E-2</v>
      </c>
    </row>
    <row r="66" spans="2:14" x14ac:dyDescent="0.25">
      <c r="B66" s="165" t="s">
        <v>106</v>
      </c>
      <c r="C66" s="166">
        <v>22752</v>
      </c>
      <c r="D66" s="166">
        <v>8930</v>
      </c>
      <c r="E66" s="166">
        <v>21567</v>
      </c>
      <c r="F66" s="166">
        <v>23338</v>
      </c>
      <c r="G66" s="166">
        <v>29399</v>
      </c>
      <c r="H66" s="166">
        <v>37562</v>
      </c>
      <c r="I66" s="167">
        <f>IFERROR(H66/G66-1,"-")</f>
        <v>0.27766250552739891</v>
      </c>
      <c r="J66" s="166">
        <f t="shared" si="20"/>
        <v>8163</v>
      </c>
      <c r="K66" s="167">
        <f>H66/H$8</f>
        <v>6.8502631539113451E-3</v>
      </c>
    </row>
    <row r="67" spans="2:14" x14ac:dyDescent="0.25">
      <c r="B67" s="165" t="s">
        <v>103</v>
      </c>
      <c r="C67" s="166">
        <v>19152</v>
      </c>
      <c r="D67" s="166">
        <v>15343</v>
      </c>
      <c r="E67" s="166">
        <v>4744</v>
      </c>
      <c r="F67" s="166">
        <v>9037</v>
      </c>
      <c r="G67" s="166">
        <v>14448</v>
      </c>
      <c r="H67" s="166">
        <v>23750</v>
      </c>
      <c r="I67" s="167">
        <f>IFERROR(H67/G67-1,"-")</f>
        <v>0.64382613510520481</v>
      </c>
      <c r="J67" s="166">
        <f t="shared" si="20"/>
        <v>9302</v>
      </c>
      <c r="K67" s="167">
        <f>H67/H$8</f>
        <v>4.3313388505775638E-3</v>
      </c>
    </row>
    <row r="68" spans="2:14" x14ac:dyDescent="0.25">
      <c r="B68" s="161" t="s">
        <v>110</v>
      </c>
      <c r="C68" s="162">
        <v>95222</v>
      </c>
      <c r="D68" s="162">
        <v>31040</v>
      </c>
      <c r="E68" s="162">
        <v>43993</v>
      </c>
      <c r="F68" s="162">
        <v>128705</v>
      </c>
      <c r="G68" s="162">
        <v>129801</v>
      </c>
      <c r="H68" s="162">
        <v>170544</v>
      </c>
      <c r="I68" s="163">
        <f>IFERROR(H68/G68-1,"-")</f>
        <v>0.31388818267964047</v>
      </c>
      <c r="J68" s="162">
        <f t="shared" si="20"/>
        <v>40743</v>
      </c>
      <c r="K68" s="163">
        <f>H68/H$8</f>
        <v>3.1102478018227367E-2</v>
      </c>
    </row>
    <row r="69" spans="2:14" x14ac:dyDescent="0.25">
      <c r="B69" s="165" t="s">
        <v>113</v>
      </c>
      <c r="C69" s="166">
        <v>41026</v>
      </c>
      <c r="D69" s="166">
        <v>13899</v>
      </c>
      <c r="E69" s="166">
        <v>12264</v>
      </c>
      <c r="F69" s="166">
        <v>56081</v>
      </c>
      <c r="G69" s="166">
        <v>49878</v>
      </c>
      <c r="H69" s="166">
        <v>73242</v>
      </c>
      <c r="I69" s="167">
        <f t="shared" ref="I69:I76" si="21">IFERROR(H69/G69-1,"-")</f>
        <v>0.46842295200288708</v>
      </c>
      <c r="J69" s="166">
        <f t="shared" si="20"/>
        <v>23364</v>
      </c>
      <c r="K69" s="167">
        <f t="shared" ref="K69:K76" si="22">H69/H$8</f>
        <v>1.3357301898694817E-2</v>
      </c>
    </row>
    <row r="70" spans="2:14" x14ac:dyDescent="0.25">
      <c r="B70" s="165" t="s">
        <v>116</v>
      </c>
      <c r="C70" s="166">
        <v>11534</v>
      </c>
      <c r="D70" s="166">
        <v>3374</v>
      </c>
      <c r="E70" s="166">
        <v>3586</v>
      </c>
      <c r="F70" s="166">
        <v>7748</v>
      </c>
      <c r="G70" s="166">
        <v>11641</v>
      </c>
      <c r="H70" s="166">
        <v>10731</v>
      </c>
      <c r="I70" s="167">
        <f t="shared" si="21"/>
        <v>-7.8171978352375215E-2</v>
      </c>
      <c r="J70" s="166">
        <f t="shared" si="20"/>
        <v>-910</v>
      </c>
      <c r="K70" s="167">
        <f t="shared" si="22"/>
        <v>1.9570356718125403E-3</v>
      </c>
    </row>
    <row r="71" spans="2:14" x14ac:dyDescent="0.25">
      <c r="B71" s="165" t="s">
        <v>119</v>
      </c>
      <c r="C71" s="166">
        <v>10880</v>
      </c>
      <c r="D71" s="166">
        <v>3449</v>
      </c>
      <c r="E71" s="166">
        <v>6294</v>
      </c>
      <c r="F71" s="166">
        <v>18047</v>
      </c>
      <c r="G71" s="166">
        <v>14569</v>
      </c>
      <c r="H71" s="166">
        <v>19123</v>
      </c>
      <c r="I71" s="167">
        <f t="shared" si="21"/>
        <v>0.31258150868281964</v>
      </c>
      <c r="J71" s="166">
        <f t="shared" si="20"/>
        <v>4554</v>
      </c>
      <c r="K71" s="167">
        <f t="shared" si="22"/>
        <v>3.4875028564039894E-3</v>
      </c>
    </row>
    <row r="72" spans="2:14" x14ac:dyDescent="0.25">
      <c r="B72" s="165" t="s">
        <v>126</v>
      </c>
      <c r="C72" s="166">
        <v>1784</v>
      </c>
      <c r="D72" s="166">
        <v>536</v>
      </c>
      <c r="E72" s="166">
        <v>3888</v>
      </c>
      <c r="F72" s="166">
        <v>3396</v>
      </c>
      <c r="G72" s="166">
        <v>3919</v>
      </c>
      <c r="H72" s="166">
        <v>6454</v>
      </c>
      <c r="I72" s="167">
        <f t="shared" si="21"/>
        <v>0.64684868588925748</v>
      </c>
      <c r="J72" s="166">
        <f t="shared" si="20"/>
        <v>2535</v>
      </c>
      <c r="K72" s="167">
        <f t="shared" si="22"/>
        <v>1.1770299343843197E-3</v>
      </c>
    </row>
    <row r="73" spans="2:14" x14ac:dyDescent="0.25">
      <c r="B73" s="165" t="s">
        <v>122</v>
      </c>
      <c r="C73" s="166">
        <v>2469</v>
      </c>
      <c r="D73" s="166">
        <v>1278</v>
      </c>
      <c r="E73" s="166">
        <v>1635</v>
      </c>
      <c r="F73" s="166">
        <v>3248</v>
      </c>
      <c r="G73" s="166">
        <v>2240</v>
      </c>
      <c r="H73" s="166">
        <v>4219</v>
      </c>
      <c r="I73" s="167">
        <f t="shared" si="21"/>
        <v>0.88348214285714288</v>
      </c>
      <c r="J73" s="166">
        <f t="shared" si="20"/>
        <v>1979</v>
      </c>
      <c r="K73" s="167">
        <f t="shared" si="22"/>
        <v>7.6942815202470484E-4</v>
      </c>
    </row>
    <row r="74" spans="2:14" x14ac:dyDescent="0.25">
      <c r="B74" s="165" t="s">
        <v>131</v>
      </c>
      <c r="C74" s="166">
        <v>2202</v>
      </c>
      <c r="D74" s="166">
        <v>686</v>
      </c>
      <c r="E74" s="166">
        <v>1848</v>
      </c>
      <c r="F74" s="166">
        <v>2875</v>
      </c>
      <c r="G74" s="166">
        <v>3767</v>
      </c>
      <c r="H74" s="166">
        <v>3186</v>
      </c>
      <c r="I74" s="167">
        <f t="shared" si="21"/>
        <v>-0.15423413857180779</v>
      </c>
      <c r="J74" s="166">
        <f t="shared" si="20"/>
        <v>-581</v>
      </c>
      <c r="K74" s="167">
        <f t="shared" si="22"/>
        <v>5.8103770854484699E-4</v>
      </c>
    </row>
    <row r="75" spans="2:14" x14ac:dyDescent="0.25">
      <c r="B75" s="165" t="s">
        <v>134</v>
      </c>
      <c r="C75" s="166">
        <v>2302</v>
      </c>
      <c r="D75" s="166">
        <v>932</v>
      </c>
      <c r="E75" s="166">
        <v>363</v>
      </c>
      <c r="F75" s="166">
        <v>967</v>
      </c>
      <c r="G75" s="166">
        <v>1109</v>
      </c>
      <c r="H75" s="166">
        <v>3135</v>
      </c>
      <c r="I75" s="167">
        <f t="shared" si="21"/>
        <v>1.8268710550045086</v>
      </c>
      <c r="J75" s="166">
        <f t="shared" si="20"/>
        <v>2026</v>
      </c>
      <c r="K75" s="167">
        <f t="shared" si="22"/>
        <v>5.7173672827623835E-4</v>
      </c>
    </row>
    <row r="76" spans="2:14" x14ac:dyDescent="0.25">
      <c r="B76" s="170" t="s">
        <v>148</v>
      </c>
      <c r="C76" s="171">
        <f t="shared" ref="C76:H76" si="23">C68-SUM(C69:C75)</f>
        <v>23025</v>
      </c>
      <c r="D76" s="171">
        <f t="shared" si="23"/>
        <v>6886</v>
      </c>
      <c r="E76" s="171">
        <f t="shared" si="23"/>
        <v>14115</v>
      </c>
      <c r="F76" s="171">
        <f t="shared" si="23"/>
        <v>36343</v>
      </c>
      <c r="G76" s="171">
        <f t="shared" si="23"/>
        <v>42678</v>
      </c>
      <c r="H76" s="171">
        <f t="shared" si="23"/>
        <v>50454</v>
      </c>
      <c r="I76" s="172">
        <f t="shared" si="21"/>
        <v>0.18220160269928298</v>
      </c>
      <c r="J76" s="171">
        <f>H76-G76</f>
        <v>7776</v>
      </c>
      <c r="K76" s="172">
        <f t="shared" si="22"/>
        <v>9.2014050680859112E-3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791721</v>
      </c>
      <c r="D78" s="159">
        <v>225835</v>
      </c>
      <c r="E78" s="159">
        <v>354204</v>
      </c>
      <c r="F78" s="159">
        <v>710225</v>
      </c>
      <c r="G78" s="159">
        <v>800263</v>
      </c>
      <c r="H78" s="159">
        <v>915958</v>
      </c>
      <c r="I78" s="160">
        <f>IFERROR(H78/G78-1,"-")</f>
        <v>0.14457122221069829</v>
      </c>
      <c r="J78" s="159">
        <f>H78-G78</f>
        <v>115695</v>
      </c>
      <c r="K78" s="160">
        <f>H78/H$8</f>
        <v>0.16704524087988731</v>
      </c>
      <c r="L78" s="107"/>
      <c r="M78" s="107"/>
      <c r="N78" s="107"/>
    </row>
    <row r="79" spans="2:14" x14ac:dyDescent="0.25">
      <c r="B79" s="161" t="s">
        <v>100</v>
      </c>
      <c r="C79" s="162">
        <v>356283</v>
      </c>
      <c r="D79" s="162">
        <v>103133</v>
      </c>
      <c r="E79" s="162">
        <v>181693</v>
      </c>
      <c r="F79" s="162">
        <v>342343</v>
      </c>
      <c r="G79" s="162">
        <v>343297</v>
      </c>
      <c r="H79" s="162">
        <v>382439</v>
      </c>
      <c r="I79" s="163">
        <f>IFERROR(H79/G79-1,"-")</f>
        <v>0.1140178912137304</v>
      </c>
      <c r="J79" s="162">
        <f t="shared" ref="J79:J89" si="24">H79-G79</f>
        <v>39142</v>
      </c>
      <c r="K79" s="163">
        <f>H79/H$8</f>
        <v>6.974622731267506E-2</v>
      </c>
    </row>
    <row r="80" spans="2:14" x14ac:dyDescent="0.25">
      <c r="B80" s="165" t="s">
        <v>106</v>
      </c>
      <c r="C80" s="166">
        <v>72064</v>
      </c>
      <c r="D80" s="166">
        <v>28320</v>
      </c>
      <c r="E80" s="166">
        <v>66989</v>
      </c>
      <c r="F80" s="166">
        <v>97391</v>
      </c>
      <c r="G80" s="166">
        <v>92865</v>
      </c>
      <c r="H80" s="166">
        <v>106402</v>
      </c>
      <c r="I80" s="167">
        <f>IFERROR(H80/G80-1,"-")</f>
        <v>0.14577074247563671</v>
      </c>
      <c r="J80" s="166">
        <f t="shared" si="24"/>
        <v>13537</v>
      </c>
      <c r="K80" s="167">
        <f>H80/H$8</f>
        <v>1.9404762794911743E-2</v>
      </c>
    </row>
    <row r="81" spans="2:14" x14ac:dyDescent="0.25">
      <c r="B81" s="165" t="s">
        <v>103</v>
      </c>
      <c r="C81" s="166">
        <v>284219</v>
      </c>
      <c r="D81" s="166">
        <v>74813</v>
      </c>
      <c r="E81" s="166">
        <v>114704</v>
      </c>
      <c r="F81" s="166">
        <v>244952</v>
      </c>
      <c r="G81" s="166">
        <v>250432</v>
      </c>
      <c r="H81" s="166">
        <v>276037</v>
      </c>
      <c r="I81" s="167">
        <f>IFERROR(H81/G81-1,"-")</f>
        <v>0.10224332353692822</v>
      </c>
      <c r="J81" s="166">
        <f t="shared" si="24"/>
        <v>25605</v>
      </c>
      <c r="K81" s="167">
        <f>H81/H$8</f>
        <v>5.0341464517763321E-2</v>
      </c>
    </row>
    <row r="82" spans="2:14" x14ac:dyDescent="0.25">
      <c r="B82" s="161" t="s">
        <v>110</v>
      </c>
      <c r="C82" s="162">
        <v>435438</v>
      </c>
      <c r="D82" s="162">
        <v>122702</v>
      </c>
      <c r="E82" s="162">
        <v>172511</v>
      </c>
      <c r="F82" s="162">
        <v>367882</v>
      </c>
      <c r="G82" s="162">
        <v>456966</v>
      </c>
      <c r="H82" s="162">
        <v>533519</v>
      </c>
      <c r="I82" s="163">
        <f>IFERROR(H82/G82-1,"-")</f>
        <v>0.16752449854037277</v>
      </c>
      <c r="J82" s="162">
        <f t="shared" si="24"/>
        <v>76553</v>
      </c>
      <c r="K82" s="163">
        <f>H82/H$8</f>
        <v>9.7299013567212253E-2</v>
      </c>
    </row>
    <row r="83" spans="2:14" x14ac:dyDescent="0.25">
      <c r="B83" s="165" t="s">
        <v>113</v>
      </c>
      <c r="C83" s="166">
        <v>75049</v>
      </c>
      <c r="D83" s="166">
        <v>21332</v>
      </c>
      <c r="E83" s="166">
        <v>16695</v>
      </c>
      <c r="F83" s="166">
        <v>71554</v>
      </c>
      <c r="G83" s="166">
        <v>94350</v>
      </c>
      <c r="H83" s="166">
        <v>110535</v>
      </c>
      <c r="I83" s="167">
        <f t="shared" ref="I83:I90" si="25">IFERROR(H83/G83-1,"-")</f>
        <v>0.17154213036565968</v>
      </c>
      <c r="J83" s="166">
        <f t="shared" si="24"/>
        <v>16185</v>
      </c>
      <c r="K83" s="167">
        <f t="shared" ref="K83:K90" si="26">H83/H$8</f>
        <v>2.0158506940993304E-2</v>
      </c>
    </row>
    <row r="84" spans="2:14" x14ac:dyDescent="0.25">
      <c r="B84" s="165" t="s">
        <v>116</v>
      </c>
      <c r="C84" s="166">
        <v>159354</v>
      </c>
      <c r="D84" s="166">
        <v>39522</v>
      </c>
      <c r="E84" s="166">
        <v>53227</v>
      </c>
      <c r="F84" s="166">
        <v>113120</v>
      </c>
      <c r="G84" s="166">
        <v>127790</v>
      </c>
      <c r="H84" s="166">
        <v>142028</v>
      </c>
      <c r="I84" s="167">
        <f t="shared" si="25"/>
        <v>0.11141716879255026</v>
      </c>
      <c r="J84" s="166">
        <f t="shared" si="24"/>
        <v>14238</v>
      </c>
      <c r="K84" s="167">
        <f t="shared" si="26"/>
        <v>2.5901953442940218E-2</v>
      </c>
    </row>
    <row r="85" spans="2:14" x14ac:dyDescent="0.25">
      <c r="B85" s="165" t="s">
        <v>119</v>
      </c>
      <c r="C85" s="166">
        <v>25447</v>
      </c>
      <c r="D85" s="166">
        <v>8286</v>
      </c>
      <c r="E85" s="166">
        <v>19927</v>
      </c>
      <c r="F85" s="166">
        <v>30758</v>
      </c>
      <c r="G85" s="166">
        <v>42427</v>
      </c>
      <c r="H85" s="166">
        <v>58007</v>
      </c>
      <c r="I85" s="167">
        <f t="shared" si="25"/>
        <v>0.36721898790864316</v>
      </c>
      <c r="J85" s="166">
        <f t="shared" si="24"/>
        <v>15580</v>
      </c>
      <c r="K85" s="167">
        <f t="shared" si="26"/>
        <v>1.0578862008650641E-2</v>
      </c>
    </row>
    <row r="86" spans="2:14" x14ac:dyDescent="0.25">
      <c r="B86" s="165" t="s">
        <v>126</v>
      </c>
      <c r="C86" s="166">
        <v>9296</v>
      </c>
      <c r="D86" s="166">
        <v>2074</v>
      </c>
      <c r="E86" s="166">
        <v>5996</v>
      </c>
      <c r="F86" s="166">
        <v>10713</v>
      </c>
      <c r="G86" s="166">
        <v>13075</v>
      </c>
      <c r="H86" s="166">
        <v>18571</v>
      </c>
      <c r="I86" s="167">
        <f t="shared" si="25"/>
        <v>0.42034416826003818</v>
      </c>
      <c r="J86" s="166">
        <f t="shared" si="24"/>
        <v>5496</v>
      </c>
      <c r="K86" s="167">
        <f t="shared" si="26"/>
        <v>3.3868334229084601E-3</v>
      </c>
    </row>
    <row r="87" spans="2:14" x14ac:dyDescent="0.25">
      <c r="B87" s="165" t="s">
        <v>122</v>
      </c>
      <c r="C87" s="166">
        <v>6249</v>
      </c>
      <c r="D87" s="166">
        <v>2082</v>
      </c>
      <c r="E87" s="166">
        <v>5201</v>
      </c>
      <c r="F87" s="166">
        <v>5872</v>
      </c>
      <c r="G87" s="166">
        <v>7046</v>
      </c>
      <c r="H87" s="166">
        <v>8921</v>
      </c>
      <c r="I87" s="167">
        <f t="shared" si="25"/>
        <v>0.26610843031507248</v>
      </c>
      <c r="J87" s="166">
        <f t="shared" si="24"/>
        <v>1875</v>
      </c>
      <c r="K87" s="167">
        <f t="shared" si="26"/>
        <v>1.6269420583579976E-3</v>
      </c>
    </row>
    <row r="88" spans="2:14" x14ac:dyDescent="0.25">
      <c r="B88" s="165" t="s">
        <v>131</v>
      </c>
      <c r="C88" s="166">
        <v>8520</v>
      </c>
      <c r="D88" s="166">
        <v>3046</v>
      </c>
      <c r="E88" s="166">
        <v>2575</v>
      </c>
      <c r="F88" s="166">
        <v>7581</v>
      </c>
      <c r="G88" s="166">
        <v>8522</v>
      </c>
      <c r="H88" s="166">
        <v>7390</v>
      </c>
      <c r="I88" s="167">
        <f t="shared" si="25"/>
        <v>-0.13283266838770247</v>
      </c>
      <c r="J88" s="166">
        <f t="shared" si="24"/>
        <v>-1132</v>
      </c>
      <c r="K88" s="167">
        <f t="shared" si="26"/>
        <v>1.3477302781376081E-3</v>
      </c>
    </row>
    <row r="89" spans="2:14" x14ac:dyDescent="0.25">
      <c r="B89" s="165" t="s">
        <v>134</v>
      </c>
      <c r="C89" s="166">
        <v>13181</v>
      </c>
      <c r="D89" s="166">
        <v>4839</v>
      </c>
      <c r="E89" s="166">
        <v>2819</v>
      </c>
      <c r="F89" s="166">
        <v>7599</v>
      </c>
      <c r="G89" s="166">
        <v>9971</v>
      </c>
      <c r="H89" s="166">
        <v>9581</v>
      </c>
      <c r="I89" s="167">
        <f t="shared" si="25"/>
        <v>-3.9113428943937434E-2</v>
      </c>
      <c r="J89" s="166">
        <f t="shared" si="24"/>
        <v>-390</v>
      </c>
      <c r="K89" s="167">
        <f t="shared" si="26"/>
        <v>1.7473076853635216E-3</v>
      </c>
    </row>
    <row r="90" spans="2:14" x14ac:dyDescent="0.25">
      <c r="B90" s="170" t="s">
        <v>148</v>
      </c>
      <c r="C90" s="171">
        <f t="shared" ref="C90:H90" si="27">C82-SUM(C83:C89)</f>
        <v>138342</v>
      </c>
      <c r="D90" s="171">
        <f t="shared" si="27"/>
        <v>41521</v>
      </c>
      <c r="E90" s="171">
        <f t="shared" si="27"/>
        <v>66071</v>
      </c>
      <c r="F90" s="171">
        <f t="shared" si="27"/>
        <v>120685</v>
      </c>
      <c r="G90" s="171">
        <f t="shared" si="27"/>
        <v>153785</v>
      </c>
      <c r="H90" s="171">
        <f t="shared" si="27"/>
        <v>178486</v>
      </c>
      <c r="I90" s="172">
        <f t="shared" si="25"/>
        <v>0.16062034658776869</v>
      </c>
      <c r="J90" s="171">
        <f>H90-G90</f>
        <v>24701</v>
      </c>
      <c r="K90" s="172">
        <f t="shared" si="26"/>
        <v>3.2550877729860504E-2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55887</v>
      </c>
      <c r="D92" s="159">
        <v>24221</v>
      </c>
      <c r="E92" s="159">
        <v>33444</v>
      </c>
      <c r="F92" s="159">
        <v>51485</v>
      </c>
      <c r="G92" s="159">
        <v>58157</v>
      </c>
      <c r="H92" s="159">
        <v>57388</v>
      </c>
      <c r="I92" s="160">
        <f>IFERROR(H92/G92-1,"-")</f>
        <v>-1.3222827862510056E-2</v>
      </c>
      <c r="J92" s="159">
        <f>H92-G92</f>
        <v>-769</v>
      </c>
      <c r="K92" s="160">
        <f>H92/H$8</f>
        <v>1.046597364029243E-2</v>
      </c>
      <c r="L92" s="107"/>
      <c r="M92" s="107"/>
      <c r="N92" s="107"/>
    </row>
    <row r="93" spans="2:14" x14ac:dyDescent="0.25">
      <c r="B93" s="161" t="s">
        <v>100</v>
      </c>
      <c r="C93" s="162">
        <v>37119</v>
      </c>
      <c r="D93" s="162">
        <v>16023</v>
      </c>
      <c r="E93" s="162">
        <v>21732</v>
      </c>
      <c r="F93" s="162">
        <v>33809</v>
      </c>
      <c r="G93" s="162">
        <v>37722</v>
      </c>
      <c r="H93" s="162">
        <v>35821</v>
      </c>
      <c r="I93" s="163">
        <f>IFERROR(H93/G93-1,"-")</f>
        <v>-5.0394994963151474E-2</v>
      </c>
      <c r="J93" s="162">
        <f t="shared" ref="J93:J103" si="28">H93-G93</f>
        <v>-1901</v>
      </c>
      <c r="K93" s="163">
        <f>H93/H$8</f>
        <v>6.5327532196437429E-3</v>
      </c>
    </row>
    <row r="94" spans="2:14" x14ac:dyDescent="0.25">
      <c r="B94" s="165" t="s">
        <v>106</v>
      </c>
      <c r="C94" s="166">
        <v>19153</v>
      </c>
      <c r="D94" s="166">
        <v>8684</v>
      </c>
      <c r="E94" s="166">
        <v>11001</v>
      </c>
      <c r="F94" s="166">
        <v>16289</v>
      </c>
      <c r="G94" s="166">
        <v>12024</v>
      </c>
      <c r="H94" s="166">
        <v>11877</v>
      </c>
      <c r="I94" s="167">
        <f>IFERROR(H94/G94-1,"-")</f>
        <v>-1.2225548902195627E-2</v>
      </c>
      <c r="J94" s="166">
        <f t="shared" si="28"/>
        <v>-147</v>
      </c>
      <c r="K94" s="167">
        <f>H94/H$8</f>
        <v>2.1660341696130409E-3</v>
      </c>
    </row>
    <row r="95" spans="2:14" x14ac:dyDescent="0.25">
      <c r="B95" s="165" t="s">
        <v>103</v>
      </c>
      <c r="C95" s="166">
        <v>17966</v>
      </c>
      <c r="D95" s="166">
        <v>7339</v>
      </c>
      <c r="E95" s="166">
        <v>10731</v>
      </c>
      <c r="F95" s="166">
        <v>17520</v>
      </c>
      <c r="G95" s="166">
        <v>25698</v>
      </c>
      <c r="H95" s="166">
        <v>23944</v>
      </c>
      <c r="I95" s="167">
        <f>IFERROR(H95/G95-1,"-")</f>
        <v>-6.8254338859055186E-2</v>
      </c>
      <c r="J95" s="166">
        <f t="shared" si="28"/>
        <v>-1754</v>
      </c>
      <c r="K95" s="167">
        <f>H95/H$8</f>
        <v>4.3667190500307025E-3</v>
      </c>
    </row>
    <row r="96" spans="2:14" x14ac:dyDescent="0.25">
      <c r="B96" s="161" t="s">
        <v>110</v>
      </c>
      <c r="C96" s="162">
        <v>18768</v>
      </c>
      <c r="D96" s="162">
        <v>8198</v>
      </c>
      <c r="E96" s="162">
        <v>11712</v>
      </c>
      <c r="F96" s="162">
        <v>17676</v>
      </c>
      <c r="G96" s="162">
        <v>20435</v>
      </c>
      <c r="H96" s="162">
        <v>21567</v>
      </c>
      <c r="I96" s="163">
        <f>IFERROR(H96/G96-1,"-")</f>
        <v>5.539515537068751E-2</v>
      </c>
      <c r="J96" s="162">
        <f t="shared" si="28"/>
        <v>1132</v>
      </c>
      <c r="K96" s="163">
        <f>H96/H$8</f>
        <v>3.9332204206486872E-3</v>
      </c>
    </row>
    <row r="97" spans="2:14" x14ac:dyDescent="0.25">
      <c r="B97" s="165" t="s">
        <v>113</v>
      </c>
      <c r="C97" s="166">
        <v>2421</v>
      </c>
      <c r="D97" s="166">
        <v>1288</v>
      </c>
      <c r="E97" s="166">
        <v>921</v>
      </c>
      <c r="F97" s="166">
        <v>2403</v>
      </c>
      <c r="G97" s="166">
        <v>2795</v>
      </c>
      <c r="H97" s="166">
        <v>3030</v>
      </c>
      <c r="I97" s="167">
        <f t="shared" ref="I97:I104" si="29">IFERROR(H97/G97-1,"-")</f>
        <v>8.4078711985688726E-2</v>
      </c>
      <c r="J97" s="166">
        <f t="shared" si="28"/>
        <v>235</v>
      </c>
      <c r="K97" s="167">
        <f t="shared" ref="K97:K104" si="30">H97/H$8</f>
        <v>5.5258765125263233E-4</v>
      </c>
    </row>
    <row r="98" spans="2:14" x14ac:dyDescent="0.25">
      <c r="B98" s="165" t="s">
        <v>116</v>
      </c>
      <c r="C98" s="166">
        <v>3905</v>
      </c>
      <c r="D98" s="166">
        <v>1481</v>
      </c>
      <c r="E98" s="166">
        <v>2395</v>
      </c>
      <c r="F98" s="166">
        <v>3482</v>
      </c>
      <c r="G98" s="166">
        <v>3814</v>
      </c>
      <c r="H98" s="166">
        <v>4234</v>
      </c>
      <c r="I98" s="167">
        <f t="shared" si="29"/>
        <v>0.11012060828526482</v>
      </c>
      <c r="J98" s="166">
        <f t="shared" si="28"/>
        <v>420</v>
      </c>
      <c r="K98" s="167">
        <f t="shared" si="30"/>
        <v>7.7216373445664857E-4</v>
      </c>
    </row>
    <row r="99" spans="2:14" x14ac:dyDescent="0.25">
      <c r="B99" s="165" t="s">
        <v>119</v>
      </c>
      <c r="C99" s="166">
        <v>3854</v>
      </c>
      <c r="D99" s="166">
        <v>1974</v>
      </c>
      <c r="E99" s="166">
        <v>3541</v>
      </c>
      <c r="F99" s="166">
        <v>3412</v>
      </c>
      <c r="G99" s="166">
        <v>3885</v>
      </c>
      <c r="H99" s="166">
        <v>3685</v>
      </c>
      <c r="I99" s="167">
        <f t="shared" si="29"/>
        <v>-5.1480051480051525E-2</v>
      </c>
      <c r="J99" s="166">
        <f t="shared" si="28"/>
        <v>-200</v>
      </c>
      <c r="K99" s="167">
        <f t="shared" si="30"/>
        <v>6.7204141744750827E-4</v>
      </c>
    </row>
    <row r="100" spans="2:14" x14ac:dyDescent="0.25">
      <c r="B100" s="165" t="s">
        <v>126</v>
      </c>
      <c r="C100" s="166">
        <v>699</v>
      </c>
      <c r="D100" s="166">
        <v>323</v>
      </c>
      <c r="E100" s="166">
        <v>432</v>
      </c>
      <c r="F100" s="166">
        <v>1172</v>
      </c>
      <c r="G100" s="166">
        <v>938</v>
      </c>
      <c r="H100" s="166">
        <v>933</v>
      </c>
      <c r="I100" s="167">
        <f t="shared" si="29"/>
        <v>-5.3304904051172386E-3</v>
      </c>
      <c r="J100" s="166">
        <f t="shared" si="28"/>
        <v>-5</v>
      </c>
      <c r="K100" s="167">
        <f t="shared" si="30"/>
        <v>1.7015322726689964E-4</v>
      </c>
    </row>
    <row r="101" spans="2:14" x14ac:dyDescent="0.25">
      <c r="B101" s="165" t="s">
        <v>122</v>
      </c>
      <c r="C101" s="166">
        <v>519</v>
      </c>
      <c r="D101" s="166">
        <v>351</v>
      </c>
      <c r="E101" s="166">
        <v>507</v>
      </c>
      <c r="F101" s="166">
        <v>682</v>
      </c>
      <c r="G101" s="166">
        <v>650</v>
      </c>
      <c r="H101" s="166">
        <v>903</v>
      </c>
      <c r="I101" s="167">
        <f t="shared" si="29"/>
        <v>0.38923076923076927</v>
      </c>
      <c r="J101" s="166">
        <f t="shared" si="28"/>
        <v>253</v>
      </c>
      <c r="K101" s="167">
        <f t="shared" si="30"/>
        <v>1.6468206240301221E-4</v>
      </c>
    </row>
    <row r="102" spans="2:14" x14ac:dyDescent="0.25">
      <c r="B102" s="165" t="s">
        <v>131</v>
      </c>
      <c r="C102" s="166">
        <v>155</v>
      </c>
      <c r="D102" s="166">
        <v>124</v>
      </c>
      <c r="E102" s="166">
        <v>105</v>
      </c>
      <c r="F102" s="166">
        <v>270</v>
      </c>
      <c r="G102" s="166">
        <v>153</v>
      </c>
      <c r="H102" s="166">
        <v>230</v>
      </c>
      <c r="I102" s="167">
        <f t="shared" si="29"/>
        <v>0.50326797385620914</v>
      </c>
      <c r="J102" s="166">
        <f t="shared" si="28"/>
        <v>77</v>
      </c>
      <c r="K102" s="167">
        <f t="shared" si="30"/>
        <v>4.194559728980377E-5</v>
      </c>
    </row>
    <row r="103" spans="2:14" x14ac:dyDescent="0.25">
      <c r="B103" s="165" t="s">
        <v>134</v>
      </c>
      <c r="C103" s="166">
        <v>271</v>
      </c>
      <c r="D103" s="166">
        <v>89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7.0030910257759337E-5</v>
      </c>
    </row>
    <row r="104" spans="2:14" x14ac:dyDescent="0.25">
      <c r="B104" s="170" t="s">
        <v>148</v>
      </c>
      <c r="C104" s="171">
        <f t="shared" ref="C104:H104" si="31">C96-SUM(C97:C103)</f>
        <v>6944</v>
      </c>
      <c r="D104" s="171">
        <f t="shared" si="31"/>
        <v>2568</v>
      </c>
      <c r="E104" s="171">
        <f t="shared" si="31"/>
        <v>3715</v>
      </c>
      <c r="F104" s="171">
        <f t="shared" si="31"/>
        <v>6087</v>
      </c>
      <c r="G104" s="171">
        <f t="shared" si="31"/>
        <v>7930</v>
      </c>
      <c r="H104" s="171">
        <f t="shared" si="31"/>
        <v>8168</v>
      </c>
      <c r="I104" s="172">
        <f t="shared" si="29"/>
        <v>3.0012610340479196E-2</v>
      </c>
      <c r="J104" s="171">
        <f>H104-G104</f>
        <v>238</v>
      </c>
      <c r="K104" s="172">
        <f t="shared" si="30"/>
        <v>1.4896158202744227E-3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142901</v>
      </c>
      <c r="D106" s="159">
        <v>77467</v>
      </c>
      <c r="E106" s="159">
        <v>107459</v>
      </c>
      <c r="F106" s="159">
        <v>198873</v>
      </c>
      <c r="G106" s="159">
        <v>252588</v>
      </c>
      <c r="H106" s="159">
        <v>239146</v>
      </c>
      <c r="I106" s="160">
        <f>IFERROR(H106/G106-1,"-")</f>
        <v>-5.3217096615832848E-2</v>
      </c>
      <c r="J106" s="159">
        <f>H106-G106</f>
        <v>-13442</v>
      </c>
      <c r="K106" s="160">
        <f>H106/H$8</f>
        <v>4.3613573084640929E-2</v>
      </c>
      <c r="L106" s="107"/>
      <c r="M106" s="107"/>
      <c r="N106" s="107"/>
    </row>
    <row r="107" spans="2:14" x14ac:dyDescent="0.25">
      <c r="B107" s="161" t="s">
        <v>100</v>
      </c>
      <c r="C107" s="162">
        <v>31009</v>
      </c>
      <c r="D107" s="162">
        <v>30584</v>
      </c>
      <c r="E107" s="162">
        <v>44398</v>
      </c>
      <c r="F107" s="162">
        <v>48630</v>
      </c>
      <c r="G107" s="162">
        <v>55684</v>
      </c>
      <c r="H107" s="162">
        <v>49807</v>
      </c>
      <c r="I107" s="163">
        <f>IFERROR(H107/G107-1,"-")</f>
        <v>-0.10554198692622652</v>
      </c>
      <c r="J107" s="162">
        <f t="shared" ref="J107:J117" si="32">H107-G107</f>
        <v>-5877</v>
      </c>
      <c r="K107" s="163">
        <f>H107/H$8</f>
        <v>9.0834102791880721E-3</v>
      </c>
    </row>
    <row r="108" spans="2:14" x14ac:dyDescent="0.25">
      <c r="B108" s="165" t="s">
        <v>106</v>
      </c>
      <c r="C108" s="166">
        <v>11886</v>
      </c>
      <c r="D108" s="166">
        <v>4963</v>
      </c>
      <c r="E108" s="166">
        <v>24120</v>
      </c>
      <c r="F108" s="166">
        <v>16359</v>
      </c>
      <c r="G108" s="166">
        <v>19520</v>
      </c>
      <c r="H108" s="166">
        <v>16099</v>
      </c>
      <c r="I108" s="167">
        <f>IFERROR(H108/G108-1,"-")</f>
        <v>-0.17525614754098362</v>
      </c>
      <c r="J108" s="166">
        <f t="shared" si="32"/>
        <v>-3421</v>
      </c>
      <c r="K108" s="167">
        <f>H108/H$8</f>
        <v>2.9360094381241345E-3</v>
      </c>
    </row>
    <row r="109" spans="2:14" x14ac:dyDescent="0.25">
      <c r="B109" s="165" t="s">
        <v>103</v>
      </c>
      <c r="C109" s="166">
        <v>19123</v>
      </c>
      <c r="D109" s="166">
        <v>25621</v>
      </c>
      <c r="E109" s="166">
        <v>20278</v>
      </c>
      <c r="F109" s="166">
        <v>32271</v>
      </c>
      <c r="G109" s="166">
        <v>36164</v>
      </c>
      <c r="H109" s="166">
        <v>33708</v>
      </c>
      <c r="I109" s="167">
        <f>IFERROR(H109/G109-1,"-")</f>
        <v>-6.791284149983412E-2</v>
      </c>
      <c r="J109" s="166">
        <f t="shared" si="32"/>
        <v>-2456</v>
      </c>
      <c r="K109" s="167">
        <f>H109/H$8</f>
        <v>6.1474008410639372E-3</v>
      </c>
    </row>
    <row r="110" spans="2:14" x14ac:dyDescent="0.25">
      <c r="B110" s="161" t="s">
        <v>110</v>
      </c>
      <c r="C110" s="162">
        <v>111892</v>
      </c>
      <c r="D110" s="162">
        <v>46883</v>
      </c>
      <c r="E110" s="162">
        <v>63061</v>
      </c>
      <c r="F110" s="162">
        <v>150243</v>
      </c>
      <c r="G110" s="162">
        <v>196904</v>
      </c>
      <c r="H110" s="162">
        <v>189339</v>
      </c>
      <c r="I110" s="163">
        <f>IFERROR(H110/G110-1,"-")</f>
        <v>-3.841973753707395E-2</v>
      </c>
      <c r="J110" s="162">
        <f t="shared" si="32"/>
        <v>-7565</v>
      </c>
      <c r="K110" s="163">
        <f>H110/H$8</f>
        <v>3.4530162805452853E-2</v>
      </c>
    </row>
    <row r="111" spans="2:14" x14ac:dyDescent="0.25">
      <c r="B111" s="165" t="s">
        <v>113</v>
      </c>
      <c r="C111" s="166">
        <v>61414</v>
      </c>
      <c r="D111" s="166">
        <v>26382</v>
      </c>
      <c r="E111" s="166">
        <v>26812</v>
      </c>
      <c r="F111" s="166">
        <v>90804</v>
      </c>
      <c r="G111" s="166">
        <v>128108</v>
      </c>
      <c r="H111" s="166">
        <v>116734</v>
      </c>
      <c r="I111" s="167">
        <f t="shared" ref="I111:I118" si="33">IFERROR(H111/G111-1,"-")</f>
        <v>-8.8784463109251588E-2</v>
      </c>
      <c r="J111" s="166">
        <f t="shared" si="32"/>
        <v>-11374</v>
      </c>
      <c r="K111" s="167">
        <f t="shared" ref="K111:K118" si="34">H111/H$8</f>
        <v>2.1289031974034582E-2</v>
      </c>
    </row>
    <row r="112" spans="2:14" x14ac:dyDescent="0.25">
      <c r="B112" s="165" t="s">
        <v>116</v>
      </c>
      <c r="C112" s="166">
        <v>9783</v>
      </c>
      <c r="D112" s="166">
        <v>3197</v>
      </c>
      <c r="E112" s="166">
        <v>7197</v>
      </c>
      <c r="F112" s="166">
        <v>6944</v>
      </c>
      <c r="G112" s="166">
        <v>8880</v>
      </c>
      <c r="H112" s="166">
        <v>8516</v>
      </c>
      <c r="I112" s="167">
        <f t="shared" si="33"/>
        <v>-4.0990990990991016E-2</v>
      </c>
      <c r="J112" s="166">
        <f t="shared" si="32"/>
        <v>-364</v>
      </c>
      <c r="K112" s="167">
        <f t="shared" si="34"/>
        <v>1.5530813326955172E-3</v>
      </c>
    </row>
    <row r="113" spans="2:14" x14ac:dyDescent="0.25">
      <c r="B113" s="165" t="s">
        <v>119</v>
      </c>
      <c r="C113" s="166">
        <v>11371</v>
      </c>
      <c r="D113" s="166">
        <v>2498</v>
      </c>
      <c r="E113" s="166">
        <v>6746</v>
      </c>
      <c r="F113" s="166">
        <v>9830</v>
      </c>
      <c r="G113" s="166">
        <v>13414</v>
      </c>
      <c r="H113" s="166">
        <v>14245</v>
      </c>
      <c r="I113" s="167">
        <f t="shared" si="33"/>
        <v>6.1950201282242379E-2</v>
      </c>
      <c r="J113" s="166">
        <f t="shared" si="32"/>
        <v>831</v>
      </c>
      <c r="K113" s="167">
        <f t="shared" si="34"/>
        <v>2.59789144953589E-3</v>
      </c>
    </row>
    <row r="114" spans="2:14" x14ac:dyDescent="0.25">
      <c r="B114" s="165" t="s">
        <v>126</v>
      </c>
      <c r="C114" s="166">
        <v>2496</v>
      </c>
      <c r="D114" s="166">
        <v>1300</v>
      </c>
      <c r="E114" s="166">
        <v>3663</v>
      </c>
      <c r="F114" s="166">
        <v>6290</v>
      </c>
      <c r="G114" s="166">
        <v>6514</v>
      </c>
      <c r="H114" s="166">
        <v>6482</v>
      </c>
      <c r="I114" s="167">
        <f t="shared" si="33"/>
        <v>-4.912496162112423E-3</v>
      </c>
      <c r="J114" s="166">
        <f t="shared" si="32"/>
        <v>-32</v>
      </c>
      <c r="K114" s="167">
        <f t="shared" si="34"/>
        <v>1.1821363549239482E-3</v>
      </c>
    </row>
    <row r="115" spans="2:14" x14ac:dyDescent="0.25">
      <c r="B115" s="165" t="s">
        <v>122</v>
      </c>
      <c r="C115" s="166">
        <v>3749</v>
      </c>
      <c r="D115" s="166">
        <v>2838</v>
      </c>
      <c r="E115" s="166">
        <v>4368</v>
      </c>
      <c r="F115" s="166">
        <v>4750</v>
      </c>
      <c r="G115" s="166">
        <v>5340</v>
      </c>
      <c r="H115" s="166">
        <v>5146</v>
      </c>
      <c r="I115" s="167">
        <f t="shared" si="33"/>
        <v>-3.6329588014981318E-2</v>
      </c>
      <c r="J115" s="166">
        <f t="shared" si="32"/>
        <v>-194</v>
      </c>
      <c r="K115" s="167">
        <f t="shared" si="34"/>
        <v>9.3848714631882706E-4</v>
      </c>
    </row>
    <row r="116" spans="2:14" x14ac:dyDescent="0.25">
      <c r="B116" s="165" t="s">
        <v>131</v>
      </c>
      <c r="C116" s="166">
        <v>826</v>
      </c>
      <c r="D116" s="166">
        <v>406</v>
      </c>
      <c r="E116" s="166">
        <v>369</v>
      </c>
      <c r="F116" s="166">
        <v>1261</v>
      </c>
      <c r="G116" s="166">
        <v>1457</v>
      </c>
      <c r="H116" s="166">
        <v>1177</v>
      </c>
      <c r="I116" s="167">
        <f t="shared" si="33"/>
        <v>-0.19217570350034319</v>
      </c>
      <c r="J116" s="166">
        <f t="shared" si="32"/>
        <v>-280</v>
      </c>
      <c r="K116" s="167">
        <f t="shared" si="34"/>
        <v>2.1465203482651756E-4</v>
      </c>
    </row>
    <row r="117" spans="2:14" x14ac:dyDescent="0.25">
      <c r="B117" s="165" t="s">
        <v>134</v>
      </c>
      <c r="C117" s="166">
        <v>1664</v>
      </c>
      <c r="D117" s="166">
        <v>932</v>
      </c>
      <c r="E117" s="166">
        <v>521</v>
      </c>
      <c r="F117" s="166">
        <v>980</v>
      </c>
      <c r="G117" s="166">
        <v>944</v>
      </c>
      <c r="H117" s="166">
        <v>1508</v>
      </c>
      <c r="I117" s="167">
        <f t="shared" si="33"/>
        <v>0.59745762711864403</v>
      </c>
      <c r="J117" s="166">
        <f t="shared" si="32"/>
        <v>564</v>
      </c>
      <c r="K117" s="167">
        <f t="shared" si="34"/>
        <v>2.7501722049140911E-4</v>
      </c>
    </row>
    <row r="118" spans="2:14" x14ac:dyDescent="0.25">
      <c r="B118" s="170" t="s">
        <v>148</v>
      </c>
      <c r="C118" s="171">
        <f t="shared" ref="C118:H118" si="35">C110-SUM(C111:C117)</f>
        <v>20589</v>
      </c>
      <c r="D118" s="171">
        <f t="shared" si="35"/>
        <v>9330</v>
      </c>
      <c r="E118" s="171">
        <f t="shared" si="35"/>
        <v>13385</v>
      </c>
      <c r="F118" s="171">
        <f t="shared" si="35"/>
        <v>29384</v>
      </c>
      <c r="G118" s="171">
        <f t="shared" si="35"/>
        <v>32247</v>
      </c>
      <c r="H118" s="171">
        <f t="shared" si="35"/>
        <v>35531</v>
      </c>
      <c r="I118" s="172">
        <f t="shared" si="33"/>
        <v>0.10183893075324835</v>
      </c>
      <c r="J118" s="171">
        <f>H118-G118</f>
        <v>3284</v>
      </c>
      <c r="K118" s="172">
        <f t="shared" si="34"/>
        <v>6.4798652926261642E-3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220415</v>
      </c>
      <c r="D120" s="159">
        <v>103516</v>
      </c>
      <c r="E120" s="159">
        <v>164258</v>
      </c>
      <c r="F120" s="159">
        <v>229131</v>
      </c>
      <c r="G120" s="159">
        <v>240044</v>
      </c>
      <c r="H120" s="159">
        <v>250407</v>
      </c>
      <c r="I120" s="160">
        <f>IFERROR(H120/G120-1,"-")</f>
        <v>4.3171251937144772E-2</v>
      </c>
      <c r="J120" s="159">
        <f>H120-G120</f>
        <v>10363</v>
      </c>
      <c r="K120" s="160">
        <f>H120/H$8</f>
        <v>4.5667266002382148E-2</v>
      </c>
      <c r="L120" s="107"/>
      <c r="M120" s="107"/>
      <c r="N120" s="107"/>
    </row>
    <row r="121" spans="2:14" x14ac:dyDescent="0.25">
      <c r="B121" s="161" t="s">
        <v>100</v>
      </c>
      <c r="C121" s="162">
        <v>120142</v>
      </c>
      <c r="D121" s="162">
        <v>61571</v>
      </c>
      <c r="E121" s="162">
        <v>104557</v>
      </c>
      <c r="F121" s="162">
        <v>134886</v>
      </c>
      <c r="G121" s="162">
        <v>147214</v>
      </c>
      <c r="H121" s="162">
        <v>155988</v>
      </c>
      <c r="I121" s="163">
        <f>IFERROR(H121/G121-1,"-")</f>
        <v>5.9600309753148561E-2</v>
      </c>
      <c r="J121" s="162">
        <f t="shared" ref="J121:J131" si="36">H121-G121</f>
        <v>8774</v>
      </c>
      <c r="K121" s="163">
        <f>H121/H$8</f>
        <v>2.8447868826269179E-2</v>
      </c>
    </row>
    <row r="122" spans="2:14" x14ac:dyDescent="0.25">
      <c r="B122" s="165" t="s">
        <v>106</v>
      </c>
      <c r="C122" s="166">
        <v>61076</v>
      </c>
      <c r="D122" s="166">
        <v>27791</v>
      </c>
      <c r="E122" s="166">
        <v>53247</v>
      </c>
      <c r="F122" s="166">
        <v>69865</v>
      </c>
      <c r="G122" s="166">
        <v>67025</v>
      </c>
      <c r="H122" s="166">
        <v>75188</v>
      </c>
      <c r="I122" s="167">
        <f>IFERROR(H122/G122-1,"-")</f>
        <v>0.12179037672510251</v>
      </c>
      <c r="J122" s="166">
        <f t="shared" si="36"/>
        <v>8163</v>
      </c>
      <c r="K122" s="167">
        <f>H122/H$8</f>
        <v>1.3712198126198984E-2</v>
      </c>
    </row>
    <row r="123" spans="2:14" x14ac:dyDescent="0.25">
      <c r="B123" s="165" t="s">
        <v>103</v>
      </c>
      <c r="C123" s="166">
        <v>59066</v>
      </c>
      <c r="D123" s="166">
        <v>33780</v>
      </c>
      <c r="E123" s="166">
        <v>51310</v>
      </c>
      <c r="F123" s="166">
        <v>65021</v>
      </c>
      <c r="G123" s="166">
        <v>80189</v>
      </c>
      <c r="H123" s="166">
        <v>80800</v>
      </c>
      <c r="I123" s="167">
        <f>IFERROR(H123/G123-1,"-")</f>
        <v>7.6194989337690089E-3</v>
      </c>
      <c r="J123" s="166">
        <f t="shared" si="36"/>
        <v>611</v>
      </c>
      <c r="K123" s="167">
        <f>H123/H$8</f>
        <v>1.4735670700070196E-2</v>
      </c>
    </row>
    <row r="124" spans="2:14" x14ac:dyDescent="0.25">
      <c r="B124" s="161" t="s">
        <v>110</v>
      </c>
      <c r="C124" s="162">
        <v>100273</v>
      </c>
      <c r="D124" s="162">
        <v>41945</v>
      </c>
      <c r="E124" s="162">
        <v>59701</v>
      </c>
      <c r="F124" s="162">
        <v>94245</v>
      </c>
      <c r="G124" s="162">
        <v>92830</v>
      </c>
      <c r="H124" s="162">
        <v>94419</v>
      </c>
      <c r="I124" s="163">
        <f>IFERROR(H124/G124-1,"-")</f>
        <v>1.7117311214047248E-2</v>
      </c>
      <c r="J124" s="162">
        <f t="shared" si="36"/>
        <v>1589</v>
      </c>
      <c r="K124" s="163">
        <f>H124/H$8</f>
        <v>1.7219397176112969E-2</v>
      </c>
    </row>
    <row r="125" spans="2:14" x14ac:dyDescent="0.25">
      <c r="B125" s="165" t="s">
        <v>113</v>
      </c>
      <c r="C125" s="166">
        <v>10460</v>
      </c>
      <c r="D125" s="166">
        <v>3941</v>
      </c>
      <c r="E125" s="166">
        <v>3336</v>
      </c>
      <c r="F125" s="166">
        <v>9917</v>
      </c>
      <c r="G125" s="166">
        <v>11654</v>
      </c>
      <c r="H125" s="166">
        <v>10678</v>
      </c>
      <c r="I125" s="167">
        <f t="shared" ref="I125:I132" si="37">IFERROR(H125/G125-1,"-")</f>
        <v>-8.3748069332418074E-2</v>
      </c>
      <c r="J125" s="166">
        <f t="shared" si="36"/>
        <v>-976</v>
      </c>
      <c r="K125" s="167">
        <f t="shared" ref="K125:K132" si="38">H125/H$8</f>
        <v>1.9473699472196725E-3</v>
      </c>
    </row>
    <row r="126" spans="2:14" x14ac:dyDescent="0.25">
      <c r="B126" s="165" t="s">
        <v>116</v>
      </c>
      <c r="C126" s="166">
        <v>9550</v>
      </c>
      <c r="D126" s="166">
        <v>4053</v>
      </c>
      <c r="E126" s="166">
        <v>7314</v>
      </c>
      <c r="F126" s="166">
        <v>11261</v>
      </c>
      <c r="G126" s="166">
        <v>13315</v>
      </c>
      <c r="H126" s="166">
        <v>13141</v>
      </c>
      <c r="I126" s="167">
        <f t="shared" si="37"/>
        <v>-1.3067968456627832E-2</v>
      </c>
      <c r="J126" s="166">
        <f t="shared" si="36"/>
        <v>-174</v>
      </c>
      <c r="K126" s="167">
        <f t="shared" si="38"/>
        <v>2.396552582544832E-3</v>
      </c>
    </row>
    <row r="127" spans="2:14" x14ac:dyDescent="0.25">
      <c r="B127" s="165" t="s">
        <v>119</v>
      </c>
      <c r="C127" s="166">
        <v>6709</v>
      </c>
      <c r="D127" s="166">
        <v>2906</v>
      </c>
      <c r="E127" s="166">
        <v>7134</v>
      </c>
      <c r="F127" s="166">
        <v>8524</v>
      </c>
      <c r="G127" s="166">
        <v>8780</v>
      </c>
      <c r="H127" s="166">
        <v>8587</v>
      </c>
      <c r="I127" s="167">
        <f t="shared" si="37"/>
        <v>-2.1981776765375827E-2</v>
      </c>
      <c r="J127" s="166">
        <f t="shared" si="36"/>
        <v>-193</v>
      </c>
      <c r="K127" s="167">
        <f t="shared" si="38"/>
        <v>1.5660297562067173E-3</v>
      </c>
    </row>
    <row r="128" spans="2:14" x14ac:dyDescent="0.25">
      <c r="B128" s="165" t="s">
        <v>126</v>
      </c>
      <c r="C128" s="166">
        <v>1866</v>
      </c>
      <c r="D128" s="166">
        <v>784</v>
      </c>
      <c r="E128" s="166">
        <v>1333</v>
      </c>
      <c r="F128" s="166">
        <v>2573</v>
      </c>
      <c r="G128" s="166">
        <v>2637</v>
      </c>
      <c r="H128" s="166">
        <v>2356</v>
      </c>
      <c r="I128" s="167">
        <f t="shared" si="37"/>
        <v>-0.10656048540007579</v>
      </c>
      <c r="J128" s="166">
        <f t="shared" si="36"/>
        <v>-281</v>
      </c>
      <c r="K128" s="167">
        <f t="shared" si="38"/>
        <v>4.2966881397729428E-4</v>
      </c>
    </row>
    <row r="129" spans="2:14" x14ac:dyDescent="0.25">
      <c r="B129" s="165" t="s">
        <v>122</v>
      </c>
      <c r="C129" s="166">
        <v>1484</v>
      </c>
      <c r="D129" s="166">
        <v>812</v>
      </c>
      <c r="E129" s="166">
        <v>1357</v>
      </c>
      <c r="F129" s="166">
        <v>1836</v>
      </c>
      <c r="G129" s="166">
        <v>1935</v>
      </c>
      <c r="H129" s="166">
        <v>2097</v>
      </c>
      <c r="I129" s="167">
        <f t="shared" si="37"/>
        <v>8.3720930232558111E-2</v>
      </c>
      <c r="J129" s="166">
        <f t="shared" si="36"/>
        <v>162</v>
      </c>
      <c r="K129" s="167">
        <f t="shared" si="38"/>
        <v>3.8243442398573266E-4</v>
      </c>
    </row>
    <row r="130" spans="2:14" x14ac:dyDescent="0.25">
      <c r="B130" s="165" t="s">
        <v>131</v>
      </c>
      <c r="C130" s="166">
        <v>1623</v>
      </c>
      <c r="D130" s="166">
        <v>678</v>
      </c>
      <c r="E130" s="166">
        <v>555</v>
      </c>
      <c r="F130" s="166">
        <v>1075</v>
      </c>
      <c r="G130" s="166">
        <v>1342</v>
      </c>
      <c r="H130" s="166">
        <v>1334</v>
      </c>
      <c r="I130" s="167">
        <f t="shared" si="37"/>
        <v>-5.9612518628912037E-3</v>
      </c>
      <c r="J130" s="166">
        <f t="shared" si="36"/>
        <v>-8</v>
      </c>
      <c r="K130" s="167">
        <f t="shared" si="38"/>
        <v>2.4328446428086188E-4</v>
      </c>
    </row>
    <row r="131" spans="2:14" x14ac:dyDescent="0.25">
      <c r="B131" s="165" t="s">
        <v>134</v>
      </c>
      <c r="C131" s="166">
        <v>2681</v>
      </c>
      <c r="D131" s="166">
        <v>1097</v>
      </c>
      <c r="E131" s="166">
        <v>919</v>
      </c>
      <c r="F131" s="166">
        <v>1885</v>
      </c>
      <c r="G131" s="166">
        <v>2455</v>
      </c>
      <c r="H131" s="166">
        <v>2502</v>
      </c>
      <c r="I131" s="167">
        <f t="shared" si="37"/>
        <v>1.91446028513238E-2</v>
      </c>
      <c r="J131" s="166">
        <f t="shared" si="36"/>
        <v>47</v>
      </c>
      <c r="K131" s="167">
        <f t="shared" si="38"/>
        <v>4.5629514964821321E-4</v>
      </c>
    </row>
    <row r="132" spans="2:14" x14ac:dyDescent="0.25">
      <c r="B132" s="170" t="s">
        <v>148</v>
      </c>
      <c r="C132" s="171">
        <f t="shared" ref="C132:H132" si="39">C124-SUM(C125:C131)</f>
        <v>65900</v>
      </c>
      <c r="D132" s="171">
        <f t="shared" si="39"/>
        <v>27674</v>
      </c>
      <c r="E132" s="171">
        <f t="shared" si="39"/>
        <v>37753</v>
      </c>
      <c r="F132" s="171">
        <f t="shared" si="39"/>
        <v>57174</v>
      </c>
      <c r="G132" s="171">
        <f t="shared" si="39"/>
        <v>50712</v>
      </c>
      <c r="H132" s="171">
        <f t="shared" si="39"/>
        <v>53724</v>
      </c>
      <c r="I132" s="172">
        <f t="shared" si="37"/>
        <v>5.9394226218646429E-2</v>
      </c>
      <c r="J132" s="171">
        <f>H132-G132</f>
        <v>3012</v>
      </c>
      <c r="K132" s="172">
        <f t="shared" si="38"/>
        <v>9.7977620382496428E-3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250224</v>
      </c>
      <c r="D134" s="159">
        <v>96681</v>
      </c>
      <c r="E134" s="159">
        <v>140346</v>
      </c>
      <c r="F134" s="159">
        <v>257117</v>
      </c>
      <c r="G134" s="159">
        <v>280769</v>
      </c>
      <c r="H134" s="159">
        <v>288350</v>
      </c>
      <c r="I134" s="160">
        <f>IFERROR(H134/G134-1,"-")</f>
        <v>2.7000844110282918E-2</v>
      </c>
      <c r="J134" s="159">
        <f>H134-G134</f>
        <v>7581</v>
      </c>
      <c r="K134" s="160">
        <f>H134/H$8</f>
        <v>5.2587012950064863E-2</v>
      </c>
      <c r="L134" s="107"/>
      <c r="M134" s="107"/>
      <c r="N134" s="107"/>
    </row>
    <row r="135" spans="2:14" x14ac:dyDescent="0.25">
      <c r="B135" s="161" t="s">
        <v>100</v>
      </c>
      <c r="C135" s="162">
        <v>45577</v>
      </c>
      <c r="D135" s="162">
        <v>26839</v>
      </c>
      <c r="E135" s="162">
        <v>45216</v>
      </c>
      <c r="F135" s="162">
        <v>29061</v>
      </c>
      <c r="G135" s="162">
        <v>33671</v>
      </c>
      <c r="H135" s="162">
        <v>29209</v>
      </c>
      <c r="I135" s="163">
        <f>IFERROR(H135/G135-1,"-")</f>
        <v>-0.13251759674497343</v>
      </c>
      <c r="J135" s="162">
        <f t="shared" ref="J135:J145" si="40">H135-G135</f>
        <v>-4462</v>
      </c>
      <c r="K135" s="163">
        <f>H135/H$8</f>
        <v>5.3269084836429495E-3</v>
      </c>
    </row>
    <row r="136" spans="2:14" x14ac:dyDescent="0.25">
      <c r="B136" s="165" t="s">
        <v>106</v>
      </c>
      <c r="C136" s="166">
        <v>24890</v>
      </c>
      <c r="D136" s="166">
        <v>20058</v>
      </c>
      <c r="E136" s="166">
        <v>34195</v>
      </c>
      <c r="F136" s="166">
        <v>19943</v>
      </c>
      <c r="G136" s="166">
        <v>22352</v>
      </c>
      <c r="H136" s="166">
        <v>18376</v>
      </c>
      <c r="I136" s="167">
        <f>IFERROR(H136/G136-1,"-")</f>
        <v>-0.17788117394416603</v>
      </c>
      <c r="J136" s="166">
        <f t="shared" si="40"/>
        <v>-3976</v>
      </c>
      <c r="K136" s="167">
        <f>H136/H$8</f>
        <v>3.3512708512931917E-3</v>
      </c>
    </row>
    <row r="137" spans="2:14" x14ac:dyDescent="0.25">
      <c r="B137" s="165" t="s">
        <v>103</v>
      </c>
      <c r="C137" s="166">
        <v>20687</v>
      </c>
      <c r="D137" s="166">
        <v>6781</v>
      </c>
      <c r="E137" s="166">
        <v>11021</v>
      </c>
      <c r="F137" s="166">
        <v>9118</v>
      </c>
      <c r="G137" s="166">
        <v>11319</v>
      </c>
      <c r="H137" s="166">
        <v>10833</v>
      </c>
      <c r="I137" s="167">
        <f>IFERROR(H137/G137-1,"-")</f>
        <v>-4.2936655181553096E-2</v>
      </c>
      <c r="J137" s="166">
        <f t="shared" si="40"/>
        <v>-486</v>
      </c>
      <c r="K137" s="167">
        <f>H137/H$8</f>
        <v>1.9756376323497578E-3</v>
      </c>
    </row>
    <row r="138" spans="2:14" x14ac:dyDescent="0.25">
      <c r="B138" s="161" t="s">
        <v>110</v>
      </c>
      <c r="C138" s="162">
        <v>204647</v>
      </c>
      <c r="D138" s="162">
        <v>69842</v>
      </c>
      <c r="E138" s="162">
        <v>95130</v>
      </c>
      <c r="F138" s="162">
        <v>228056</v>
      </c>
      <c r="G138" s="162">
        <v>247098</v>
      </c>
      <c r="H138" s="162">
        <v>259141</v>
      </c>
      <c r="I138" s="163">
        <f>IFERROR(H138/G138-1,"-")</f>
        <v>4.8737747776185891E-2</v>
      </c>
      <c r="J138" s="162">
        <f t="shared" si="40"/>
        <v>12043</v>
      </c>
      <c r="K138" s="163">
        <f>H138/H$8</f>
        <v>4.7260104466421912E-2</v>
      </c>
    </row>
    <row r="139" spans="2:14" x14ac:dyDescent="0.25">
      <c r="B139" s="165" t="s">
        <v>113</v>
      </c>
      <c r="C139" s="166">
        <v>100583</v>
      </c>
      <c r="D139" s="166">
        <v>26093</v>
      </c>
      <c r="E139" s="166">
        <v>26467</v>
      </c>
      <c r="F139" s="166">
        <v>96562</v>
      </c>
      <c r="G139" s="166">
        <v>105994</v>
      </c>
      <c r="H139" s="166">
        <v>116401</v>
      </c>
      <c r="I139" s="167">
        <f t="shared" ref="I139:I146" si="41">IFERROR(H139/G139-1,"-")</f>
        <v>9.8184802913372504E-2</v>
      </c>
      <c r="J139" s="166">
        <f t="shared" si="40"/>
        <v>10407</v>
      </c>
      <c r="K139" s="167">
        <f t="shared" ref="K139:K146" si="42">H139/H$8</f>
        <v>2.1228302044045431E-2</v>
      </c>
    </row>
    <row r="140" spans="2:14" x14ac:dyDescent="0.25">
      <c r="B140" s="165" t="s">
        <v>116</v>
      </c>
      <c r="C140" s="166">
        <v>15093</v>
      </c>
      <c r="D140" s="166">
        <v>6042</v>
      </c>
      <c r="E140" s="166">
        <v>9298</v>
      </c>
      <c r="F140" s="166">
        <v>16587</v>
      </c>
      <c r="G140" s="166">
        <v>20868</v>
      </c>
      <c r="H140" s="166">
        <v>21452</v>
      </c>
      <c r="I140" s="167">
        <f t="shared" si="41"/>
        <v>2.798543224075134E-2</v>
      </c>
      <c r="J140" s="166">
        <f t="shared" si="40"/>
        <v>584</v>
      </c>
      <c r="K140" s="167">
        <f t="shared" si="42"/>
        <v>3.9122476220037851E-3</v>
      </c>
    </row>
    <row r="141" spans="2:14" x14ac:dyDescent="0.25">
      <c r="B141" s="165" t="s">
        <v>119</v>
      </c>
      <c r="C141" s="166">
        <v>19622</v>
      </c>
      <c r="D141" s="166">
        <v>6586</v>
      </c>
      <c r="E141" s="166">
        <v>15246</v>
      </c>
      <c r="F141" s="166">
        <v>26940</v>
      </c>
      <c r="G141" s="166">
        <v>25146</v>
      </c>
      <c r="H141" s="166">
        <v>24606</v>
      </c>
      <c r="I141" s="167">
        <f t="shared" si="41"/>
        <v>-2.1474588403722294E-2</v>
      </c>
      <c r="J141" s="166">
        <f t="shared" si="40"/>
        <v>-540</v>
      </c>
      <c r="K141" s="167">
        <f t="shared" si="42"/>
        <v>4.4874494213604857E-3</v>
      </c>
    </row>
    <row r="142" spans="2:14" x14ac:dyDescent="0.25">
      <c r="B142" s="165" t="s">
        <v>126</v>
      </c>
      <c r="C142" s="166">
        <v>3955</v>
      </c>
      <c r="D142" s="166">
        <v>1273</v>
      </c>
      <c r="E142" s="166">
        <v>4366</v>
      </c>
      <c r="F142" s="166">
        <v>9965</v>
      </c>
      <c r="G142" s="166">
        <v>8970</v>
      </c>
      <c r="H142" s="166">
        <v>6557</v>
      </c>
      <c r="I142" s="167">
        <f t="shared" si="41"/>
        <v>-0.26900780379041245</v>
      </c>
      <c r="J142" s="166">
        <f t="shared" si="40"/>
        <v>-2413</v>
      </c>
      <c r="K142" s="167">
        <f t="shared" si="42"/>
        <v>1.1958142670836667E-3</v>
      </c>
    </row>
    <row r="143" spans="2:14" x14ac:dyDescent="0.25">
      <c r="B143" s="165" t="s">
        <v>122</v>
      </c>
      <c r="C143" s="166">
        <v>4225</v>
      </c>
      <c r="D143" s="166">
        <v>1935</v>
      </c>
      <c r="E143" s="166">
        <v>3344</v>
      </c>
      <c r="F143" s="166">
        <v>4569</v>
      </c>
      <c r="G143" s="166">
        <v>5508</v>
      </c>
      <c r="H143" s="166">
        <v>5591</v>
      </c>
      <c r="I143" s="167">
        <f t="shared" si="41"/>
        <v>1.5068990559186535E-2</v>
      </c>
      <c r="J143" s="166">
        <f t="shared" si="40"/>
        <v>83</v>
      </c>
      <c r="K143" s="167">
        <f t="shared" si="42"/>
        <v>1.0196427584664909E-3</v>
      </c>
    </row>
    <row r="144" spans="2:14" x14ac:dyDescent="0.25">
      <c r="B144" s="165" t="s">
        <v>131</v>
      </c>
      <c r="C144" s="166">
        <v>2428</v>
      </c>
      <c r="D144" s="166">
        <v>1979</v>
      </c>
      <c r="E144" s="166">
        <v>1422</v>
      </c>
      <c r="F144" s="166">
        <v>3324</v>
      </c>
      <c r="G144" s="166">
        <v>3693</v>
      </c>
      <c r="H144" s="166">
        <v>3368</v>
      </c>
      <c r="I144" s="167">
        <f t="shared" si="41"/>
        <v>-8.8004332520985606E-2</v>
      </c>
      <c r="J144" s="166">
        <f t="shared" si="40"/>
        <v>-325</v>
      </c>
      <c r="K144" s="167">
        <f t="shared" si="42"/>
        <v>6.1422944205243089E-4</v>
      </c>
    </row>
    <row r="145" spans="2:14" x14ac:dyDescent="0.25">
      <c r="B145" s="165" t="s">
        <v>134</v>
      </c>
      <c r="C145" s="166">
        <v>6221</v>
      </c>
      <c r="D145" s="166">
        <v>4050</v>
      </c>
      <c r="E145" s="166">
        <v>947</v>
      </c>
      <c r="F145" s="166">
        <v>2079</v>
      </c>
      <c r="G145" s="166">
        <v>2886</v>
      </c>
      <c r="H145" s="166">
        <v>2832</v>
      </c>
      <c r="I145" s="167">
        <f t="shared" si="41"/>
        <v>-1.8711018711018657E-2</v>
      </c>
      <c r="J145" s="166">
        <f t="shared" si="40"/>
        <v>-54</v>
      </c>
      <c r="K145" s="167">
        <f t="shared" si="42"/>
        <v>5.164779631509752E-4</v>
      </c>
    </row>
    <row r="146" spans="2:14" x14ac:dyDescent="0.25">
      <c r="B146" s="170" t="s">
        <v>148</v>
      </c>
      <c r="C146" s="171">
        <f t="shared" ref="C146:H146" si="43">C138-SUM(C139:C145)</f>
        <v>52520</v>
      </c>
      <c r="D146" s="171">
        <f t="shared" si="43"/>
        <v>21884</v>
      </c>
      <c r="E146" s="171">
        <f t="shared" si="43"/>
        <v>34040</v>
      </c>
      <c r="F146" s="171">
        <f t="shared" si="43"/>
        <v>68030</v>
      </c>
      <c r="G146" s="171">
        <f t="shared" si="43"/>
        <v>74033</v>
      </c>
      <c r="H146" s="171">
        <f t="shared" si="43"/>
        <v>78334</v>
      </c>
      <c r="I146" s="172">
        <f t="shared" si="41"/>
        <v>5.8095714073453708E-2</v>
      </c>
      <c r="J146" s="171">
        <f>H146-G146</f>
        <v>4301</v>
      </c>
      <c r="K146" s="172">
        <f t="shared" si="42"/>
        <v>1.4285940948258647E-2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126097</v>
      </c>
      <c r="D148" s="159">
        <v>43425</v>
      </c>
      <c r="E148" s="159">
        <v>71959</v>
      </c>
      <c r="F148" s="159">
        <v>111437</v>
      </c>
      <c r="G148" s="159">
        <v>123306</v>
      </c>
      <c r="H148" s="159">
        <v>128413</v>
      </c>
      <c r="I148" s="160">
        <f>IFERROR(H148/G148-1,"-")</f>
        <v>4.1417287074432707E-2</v>
      </c>
      <c r="J148" s="159">
        <f>H148-G148</f>
        <v>5107</v>
      </c>
      <c r="K148" s="160">
        <f>H148/H$8</f>
        <v>2.3418956455545963E-2</v>
      </c>
      <c r="L148" s="107"/>
      <c r="M148" s="107"/>
      <c r="N148" s="107"/>
    </row>
    <row r="149" spans="2:14" x14ac:dyDescent="0.25">
      <c r="B149" s="161" t="s">
        <v>100</v>
      </c>
      <c r="C149" s="162">
        <v>54208</v>
      </c>
      <c r="D149" s="162">
        <v>22164</v>
      </c>
      <c r="E149" s="162">
        <v>40392</v>
      </c>
      <c r="F149" s="162">
        <v>57756</v>
      </c>
      <c r="G149" s="162">
        <v>59804</v>
      </c>
      <c r="H149" s="162">
        <v>55988</v>
      </c>
      <c r="I149" s="163">
        <f>IFERROR(H149/G149-1,"-")</f>
        <v>-6.3808440906962693E-2</v>
      </c>
      <c r="J149" s="162">
        <f t="shared" ref="J149:J159" si="44">H149-G149</f>
        <v>-3816</v>
      </c>
      <c r="K149" s="163">
        <f>H149/H$8</f>
        <v>1.0210652613311015E-2</v>
      </c>
    </row>
    <row r="150" spans="2:14" x14ac:dyDescent="0.25">
      <c r="B150" s="165" t="s">
        <v>106</v>
      </c>
      <c r="C150" s="166">
        <v>32990</v>
      </c>
      <c r="D150" s="166">
        <v>14597</v>
      </c>
      <c r="E150" s="166">
        <v>32366</v>
      </c>
      <c r="F150" s="166">
        <v>41603</v>
      </c>
      <c r="G150" s="166">
        <v>44307</v>
      </c>
      <c r="H150" s="166">
        <v>37854</v>
      </c>
      <c r="I150" s="167">
        <f>IFERROR(H150/G150-1,"-")</f>
        <v>-0.14564290067032293</v>
      </c>
      <c r="J150" s="166">
        <f t="shared" si="44"/>
        <v>-6453</v>
      </c>
      <c r="K150" s="167">
        <f>H150/H$8</f>
        <v>6.9035158252531825E-3</v>
      </c>
    </row>
    <row r="151" spans="2:14" x14ac:dyDescent="0.25">
      <c r="B151" s="165" t="s">
        <v>103</v>
      </c>
      <c r="C151" s="166">
        <v>21218</v>
      </c>
      <c r="D151" s="166">
        <v>7567</v>
      </c>
      <c r="E151" s="166">
        <v>8026</v>
      </c>
      <c r="F151" s="166">
        <v>16153</v>
      </c>
      <c r="G151" s="166">
        <v>15497</v>
      </c>
      <c r="H151" s="166">
        <v>18134</v>
      </c>
      <c r="I151" s="167">
        <f>IFERROR(H151/G151-1,"-")</f>
        <v>0.17016196683229001</v>
      </c>
      <c r="J151" s="166">
        <f t="shared" si="44"/>
        <v>2637</v>
      </c>
      <c r="K151" s="167">
        <f>H151/H$8</f>
        <v>3.307136788057833E-3</v>
      </c>
    </row>
    <row r="152" spans="2:14" x14ac:dyDescent="0.25">
      <c r="B152" s="161" t="s">
        <v>110</v>
      </c>
      <c r="C152" s="162">
        <v>71889</v>
      </c>
      <c r="D152" s="162">
        <v>21261</v>
      </c>
      <c r="E152" s="162">
        <v>31567</v>
      </c>
      <c r="F152" s="162">
        <v>53681</v>
      </c>
      <c r="G152" s="162">
        <v>63502</v>
      </c>
      <c r="H152" s="162">
        <v>72425</v>
      </c>
      <c r="I152" s="163">
        <f>IFERROR(H152/G152-1,"-")</f>
        <v>0.14051525936190989</v>
      </c>
      <c r="J152" s="162">
        <f t="shared" si="44"/>
        <v>8923</v>
      </c>
      <c r="K152" s="163">
        <f>H152/H$8</f>
        <v>1.320830384223495E-2</v>
      </c>
    </row>
    <row r="153" spans="2:14" x14ac:dyDescent="0.25">
      <c r="B153" s="165" t="s">
        <v>113</v>
      </c>
      <c r="C153" s="166">
        <v>21798</v>
      </c>
      <c r="D153" s="166">
        <v>5789</v>
      </c>
      <c r="E153" s="166">
        <v>5609</v>
      </c>
      <c r="F153" s="166">
        <v>19238</v>
      </c>
      <c r="G153" s="166">
        <v>18996</v>
      </c>
      <c r="H153" s="166">
        <v>20085</v>
      </c>
      <c r="I153" s="167">
        <f t="shared" ref="I153:I160" si="45">IFERROR(H153/G153-1,"-")</f>
        <v>5.7327858496525552E-2</v>
      </c>
      <c r="J153" s="166">
        <f t="shared" si="44"/>
        <v>1089</v>
      </c>
      <c r="K153" s="167">
        <f t="shared" ref="K153:K160" si="46">H153/H$8</f>
        <v>3.6629448763726468E-3</v>
      </c>
    </row>
    <row r="154" spans="2:14" x14ac:dyDescent="0.25">
      <c r="B154" s="165" t="s">
        <v>116</v>
      </c>
      <c r="C154" s="166">
        <v>18523</v>
      </c>
      <c r="D154" s="166">
        <v>5079</v>
      </c>
      <c r="E154" s="166">
        <v>8623</v>
      </c>
      <c r="F154" s="166">
        <v>11385</v>
      </c>
      <c r="G154" s="166">
        <v>12605</v>
      </c>
      <c r="H154" s="166">
        <v>13027</v>
      </c>
      <c r="I154" s="167">
        <f t="shared" si="45"/>
        <v>3.3478778262594266E-2</v>
      </c>
      <c r="J154" s="166">
        <f t="shared" si="44"/>
        <v>422</v>
      </c>
      <c r="K154" s="167">
        <f t="shared" si="46"/>
        <v>2.37576215606206E-3</v>
      </c>
    </row>
    <row r="155" spans="2:14" x14ac:dyDescent="0.25">
      <c r="B155" s="165" t="s">
        <v>119</v>
      </c>
      <c r="C155" s="166">
        <v>9905</v>
      </c>
      <c r="D155" s="166">
        <v>2317</v>
      </c>
      <c r="E155" s="166">
        <v>5206</v>
      </c>
      <c r="F155" s="166">
        <v>6579</v>
      </c>
      <c r="G155" s="166">
        <v>10130</v>
      </c>
      <c r="H155" s="166">
        <v>12879</v>
      </c>
      <c r="I155" s="167">
        <f t="shared" si="45"/>
        <v>0.2713721618953604</v>
      </c>
      <c r="J155" s="166">
        <f t="shared" si="44"/>
        <v>2749</v>
      </c>
      <c r="K155" s="167">
        <f t="shared" si="46"/>
        <v>2.3487710760668819E-3</v>
      </c>
    </row>
    <row r="156" spans="2:14" x14ac:dyDescent="0.25">
      <c r="B156" s="165" t="s">
        <v>126</v>
      </c>
      <c r="C156" s="166">
        <v>1673</v>
      </c>
      <c r="D156" s="166">
        <v>600</v>
      </c>
      <c r="E156" s="166">
        <v>927</v>
      </c>
      <c r="F156" s="166">
        <v>1690</v>
      </c>
      <c r="G156" s="166">
        <v>2031</v>
      </c>
      <c r="H156" s="166">
        <v>2829</v>
      </c>
      <c r="I156" s="167">
        <f t="shared" si="45"/>
        <v>0.39290989660265874</v>
      </c>
      <c r="J156" s="166">
        <f t="shared" si="44"/>
        <v>798</v>
      </c>
      <c r="K156" s="167">
        <f t="shared" si="46"/>
        <v>5.1593084666458637E-4</v>
      </c>
    </row>
    <row r="157" spans="2:14" x14ac:dyDescent="0.25">
      <c r="B157" s="165" t="s">
        <v>122</v>
      </c>
      <c r="C157" s="166">
        <v>3007</v>
      </c>
      <c r="D157" s="166">
        <v>1505</v>
      </c>
      <c r="E157" s="166">
        <v>1749</v>
      </c>
      <c r="F157" s="166">
        <v>2959</v>
      </c>
      <c r="G157" s="166">
        <v>3062</v>
      </c>
      <c r="H157" s="166">
        <v>3505</v>
      </c>
      <c r="I157" s="167">
        <f t="shared" si="45"/>
        <v>0.14467668190725025</v>
      </c>
      <c r="J157" s="166">
        <f t="shared" si="44"/>
        <v>443</v>
      </c>
      <c r="K157" s="167">
        <f t="shared" si="46"/>
        <v>6.3921442826418359E-4</v>
      </c>
    </row>
    <row r="158" spans="2:14" x14ac:dyDescent="0.25">
      <c r="B158" s="165" t="s">
        <v>131</v>
      </c>
      <c r="C158" s="166">
        <v>472</v>
      </c>
      <c r="D158" s="166">
        <v>354</v>
      </c>
      <c r="E158" s="166">
        <v>292</v>
      </c>
      <c r="F158" s="166">
        <v>497</v>
      </c>
      <c r="G158" s="166">
        <v>676</v>
      </c>
      <c r="H158" s="166">
        <v>484</v>
      </c>
      <c r="I158" s="167">
        <f t="shared" si="45"/>
        <v>-0.28402366863905326</v>
      </c>
      <c r="J158" s="166">
        <f t="shared" si="44"/>
        <v>-192</v>
      </c>
      <c r="K158" s="167">
        <f t="shared" si="46"/>
        <v>8.82681264707175E-5</v>
      </c>
    </row>
    <row r="159" spans="2:14" x14ac:dyDescent="0.25">
      <c r="B159" s="165" t="s">
        <v>134</v>
      </c>
      <c r="C159" s="166">
        <v>1062</v>
      </c>
      <c r="D159" s="166">
        <v>441</v>
      </c>
      <c r="E159" s="166">
        <v>454</v>
      </c>
      <c r="F159" s="166">
        <v>656</v>
      </c>
      <c r="G159" s="166">
        <v>941</v>
      </c>
      <c r="H159" s="166">
        <v>796</v>
      </c>
      <c r="I159" s="167">
        <f t="shared" si="45"/>
        <v>-0.15409139213602552</v>
      </c>
      <c r="J159" s="166">
        <f t="shared" si="44"/>
        <v>-145</v>
      </c>
      <c r="K159" s="167">
        <f t="shared" si="46"/>
        <v>1.4516824105514697E-4</v>
      </c>
    </row>
    <row r="160" spans="2:14" x14ac:dyDescent="0.25">
      <c r="B160" s="170" t="s">
        <v>148</v>
      </c>
      <c r="C160" s="171">
        <f t="shared" ref="C160:H160" si="47">C152-SUM(C153:C159)</f>
        <v>15449</v>
      </c>
      <c r="D160" s="171">
        <f t="shared" si="47"/>
        <v>5176</v>
      </c>
      <c r="E160" s="171">
        <f t="shared" si="47"/>
        <v>8707</v>
      </c>
      <c r="F160" s="171">
        <f t="shared" si="47"/>
        <v>10677</v>
      </c>
      <c r="G160" s="171">
        <f t="shared" si="47"/>
        <v>15061</v>
      </c>
      <c r="H160" s="171">
        <f t="shared" si="47"/>
        <v>18820</v>
      </c>
      <c r="I160" s="172">
        <f t="shared" si="45"/>
        <v>0.24958502091494594</v>
      </c>
      <c r="J160" s="171">
        <f>H160-G160</f>
        <v>3759</v>
      </c>
      <c r="K160" s="172">
        <f t="shared" si="46"/>
        <v>3.432244091278726E-3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384E6-CEEB-43F7-861F-AB6C50530DA7}">
  <sheetPr>
    <tabColor theme="7" tint="0.79998168889431442"/>
  </sheetPr>
  <dimension ref="A1:T165"/>
  <sheetViews>
    <sheetView showGridLines="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10" width="13.7109375" customWidth="1"/>
    <col min="13" max="20" width="11.42578125" hidden="1" customWidth="1"/>
  </cols>
  <sheetData>
    <row r="1" spans="1:20" ht="42.75" customHeight="1" x14ac:dyDescent="0.25"/>
    <row r="2" spans="1:20" ht="18" customHeight="1" x14ac:dyDescent="0.25"/>
    <row r="3" spans="1:20" x14ac:dyDescent="0.25">
      <c r="B3" s="58"/>
    </row>
    <row r="6" spans="1:20" ht="42" customHeight="1" thickBot="1" x14ac:dyDescent="0.3">
      <c r="B6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6" s="283"/>
      <c r="D6" s="283"/>
      <c r="E6" s="283"/>
      <c r="F6" s="283"/>
      <c r="G6" s="283"/>
      <c r="H6" s="283"/>
      <c r="I6" s="283"/>
      <c r="J6" s="283"/>
      <c r="M6" s="283" t="s">
        <v>266</v>
      </c>
      <c r="N6" s="283"/>
      <c r="O6" s="283"/>
      <c r="P6" s="283"/>
      <c r="Q6" s="283"/>
      <c r="R6" s="283"/>
      <c r="S6" s="283"/>
      <c r="T6" s="283"/>
    </row>
    <row r="7" spans="1:20" ht="6" customHeight="1" x14ac:dyDescent="0.25"/>
    <row r="8" spans="1:20" ht="15.75" x14ac:dyDescent="0.25">
      <c r="B8" s="147"/>
      <c r="C8" s="313" t="s">
        <v>46</v>
      </c>
      <c r="D8" s="314"/>
      <c r="E8" s="314"/>
      <c r="F8" s="314"/>
      <c r="G8" s="314"/>
      <c r="H8" s="314"/>
      <c r="I8" s="314"/>
      <c r="J8" s="314"/>
    </row>
    <row r="9" spans="1:20" s="148" customFormat="1" ht="72" customHeight="1" x14ac:dyDescent="0.25">
      <c r="A9"/>
      <c r="B9" s="149"/>
      <c r="C9" s="174" t="s">
        <v>265</v>
      </c>
      <c r="D9" s="174" t="s">
        <v>231</v>
      </c>
      <c r="E9" s="174" t="s">
        <v>232</v>
      </c>
      <c r="F9" s="174" t="s">
        <v>233</v>
      </c>
      <c r="G9" s="174" t="s">
        <v>234</v>
      </c>
      <c r="H9" s="174" t="s">
        <v>235</v>
      </c>
      <c r="I9" s="175" t="str">
        <f>CONCATENATE("var. ",RIGHT(H9,2),"/",RIGHT(G9,2))</f>
        <v>var. 25/24</v>
      </c>
      <c r="J9" s="175" t="str">
        <f>CONCATENATE("Cuota s/ total lugares de residencia ",RIGHT(H9,4))</f>
        <v>Cuota s/ total lugares de residencia 2025</v>
      </c>
      <c r="M9" s="149"/>
      <c r="N9" s="174" t="s">
        <v>265</v>
      </c>
      <c r="O9" s="174" t="s">
        <v>231</v>
      </c>
      <c r="P9" s="174" t="s">
        <v>232</v>
      </c>
      <c r="Q9" s="174" t="s">
        <v>233</v>
      </c>
      <c r="R9" s="174" t="s">
        <v>234</v>
      </c>
      <c r="S9" s="174" t="s">
        <v>235</v>
      </c>
      <c r="T9" s="175" t="str">
        <f>CONCATENATE("Cuota s/ total lugares de residencia ",RIGHT(R9,4))</f>
        <v>Cuota s/ total lugares de residencia 2024</v>
      </c>
    </row>
    <row r="10" spans="1:20" x14ac:dyDescent="0.25">
      <c r="B10" s="154" t="s">
        <v>46</v>
      </c>
      <c r="C10" s="155"/>
      <c r="D10" s="155"/>
      <c r="E10" s="155"/>
      <c r="F10" s="155"/>
      <c r="G10" s="155"/>
      <c r="H10" s="155"/>
      <c r="I10" s="156"/>
      <c r="J10" s="156"/>
      <c r="M10" s="157" t="s">
        <v>48</v>
      </c>
      <c r="N10" s="176"/>
      <c r="O10" s="176"/>
      <c r="P10" s="176"/>
      <c r="Q10" s="176"/>
      <c r="R10" s="176"/>
      <c r="S10" s="177"/>
      <c r="T10" s="177"/>
    </row>
    <row r="11" spans="1:20" x14ac:dyDescent="0.25">
      <c r="B11" s="158" t="s">
        <v>71</v>
      </c>
      <c r="C11" s="178">
        <v>86477</v>
      </c>
      <c r="D11" s="178">
        <v>313914</v>
      </c>
      <c r="E11" s="178">
        <v>423458</v>
      </c>
      <c r="F11" s="178">
        <v>434399</v>
      </c>
      <c r="G11" s="178">
        <v>444661</v>
      </c>
      <c r="H11" s="178">
        <v>439399</v>
      </c>
      <c r="I11" s="179">
        <f t="shared" ref="I11:I23" si="0">IFERROR(H11/G11-1,"-")</f>
        <v>-1.1833734013102171E-2</v>
      </c>
      <c r="J11" s="179">
        <f>H11/H11</f>
        <v>1</v>
      </c>
      <c r="K11" s="81"/>
      <c r="L11" s="81"/>
      <c r="M11" s="158" t="s">
        <v>71</v>
      </c>
      <c r="N11" s="178">
        <v>17398</v>
      </c>
      <c r="O11" s="178">
        <v>78855</v>
      </c>
      <c r="P11" s="178">
        <v>108917</v>
      </c>
      <c r="Q11" s="178">
        <v>111619</v>
      </c>
      <c r="R11" s="178">
        <v>115450</v>
      </c>
      <c r="S11" s="179">
        <f t="shared" ref="S11:S23" si="1">IFERROR(R11/Q11-1,"-")</f>
        <v>3.4322113618649119E-2</v>
      </c>
      <c r="T11" s="179">
        <f>R11/R11</f>
        <v>1</v>
      </c>
    </row>
    <row r="12" spans="1:20" x14ac:dyDescent="0.25">
      <c r="B12" s="161" t="s">
        <v>100</v>
      </c>
      <c r="C12" s="162">
        <v>25233</v>
      </c>
      <c r="D12" s="162">
        <v>60673</v>
      </c>
      <c r="E12" s="162">
        <v>68793</v>
      </c>
      <c r="F12" s="162">
        <v>66679</v>
      </c>
      <c r="G12" s="162">
        <v>67924</v>
      </c>
      <c r="H12" s="162">
        <v>68129</v>
      </c>
      <c r="I12" s="163">
        <f t="shared" si="0"/>
        <v>3.0180790295035731E-3</v>
      </c>
      <c r="J12" s="163">
        <f>H12/H11</f>
        <v>0.15505042114342546</v>
      </c>
      <c r="K12" s="81"/>
      <c r="L12" s="81"/>
      <c r="M12" s="161" t="s">
        <v>100</v>
      </c>
      <c r="N12" s="162">
        <v>2321</v>
      </c>
      <c r="O12" s="162">
        <v>7543</v>
      </c>
      <c r="P12" s="162">
        <v>8023</v>
      </c>
      <c r="Q12" s="162">
        <v>7457</v>
      </c>
      <c r="R12" s="162">
        <v>7541</v>
      </c>
      <c r="S12" s="163">
        <f t="shared" si="1"/>
        <v>1.1264583612712986E-2</v>
      </c>
      <c r="T12" s="163">
        <f>R12/R11</f>
        <v>6.5318319618882639E-2</v>
      </c>
    </row>
    <row r="13" spans="1:20" x14ac:dyDescent="0.25">
      <c r="B13" s="165" t="s">
        <v>106</v>
      </c>
      <c r="C13" s="166">
        <v>15354</v>
      </c>
      <c r="D13" s="166">
        <v>27183</v>
      </c>
      <c r="E13" s="166">
        <v>25423</v>
      </c>
      <c r="F13" s="166">
        <v>25884</v>
      </c>
      <c r="G13" s="166">
        <v>25566</v>
      </c>
      <c r="H13" s="166">
        <v>28090</v>
      </c>
      <c r="I13" s="167">
        <f t="shared" si="0"/>
        <v>9.8724868966596269E-2</v>
      </c>
      <c r="J13" s="167">
        <f>H13/H11</f>
        <v>6.3928229240394263E-2</v>
      </c>
      <c r="K13" s="81"/>
      <c r="L13" s="81"/>
      <c r="M13" s="165" t="s">
        <v>106</v>
      </c>
      <c r="N13" s="166">
        <v>1300</v>
      </c>
      <c r="O13" s="166">
        <v>2651</v>
      </c>
      <c r="P13" s="166">
        <v>1974</v>
      </c>
      <c r="Q13" s="166">
        <v>2803</v>
      </c>
      <c r="R13" s="166">
        <v>2740</v>
      </c>
      <c r="S13" s="167">
        <f t="shared" si="1"/>
        <v>-2.2475918658580119E-2</v>
      </c>
      <c r="T13" s="167">
        <f>R13/R11</f>
        <v>2.3733217843222174E-2</v>
      </c>
    </row>
    <row r="14" spans="1:20" x14ac:dyDescent="0.25">
      <c r="B14" s="165" t="s">
        <v>103</v>
      </c>
      <c r="C14" s="166">
        <v>9879</v>
      </c>
      <c r="D14" s="166">
        <v>33490</v>
      </c>
      <c r="E14" s="166">
        <v>43370</v>
      </c>
      <c r="F14" s="166">
        <v>40795</v>
      </c>
      <c r="G14" s="166">
        <v>42358</v>
      </c>
      <c r="H14" s="166">
        <v>40039</v>
      </c>
      <c r="I14" s="167">
        <f t="shared" si="0"/>
        <v>-5.4747627366731222E-2</v>
      </c>
      <c r="J14" s="167">
        <f>H14/H11</f>
        <v>9.1122191903031183E-2</v>
      </c>
      <c r="K14" s="81"/>
      <c r="L14" s="81"/>
      <c r="M14" s="165" t="s">
        <v>103</v>
      </c>
      <c r="N14" s="166">
        <v>1021</v>
      </c>
      <c r="O14" s="166">
        <v>4892</v>
      </c>
      <c r="P14" s="166">
        <v>6049</v>
      </c>
      <c r="Q14" s="166">
        <v>4654</v>
      </c>
      <c r="R14" s="166">
        <v>4801</v>
      </c>
      <c r="S14" s="167">
        <f t="shared" si="1"/>
        <v>3.1585732703051095E-2</v>
      </c>
      <c r="T14" s="167">
        <f>R14/R11</f>
        <v>4.1585101775660459E-2</v>
      </c>
    </row>
    <row r="15" spans="1:20" x14ac:dyDescent="0.25">
      <c r="B15" s="161" t="s">
        <v>110</v>
      </c>
      <c r="C15" s="162">
        <v>61244</v>
      </c>
      <c r="D15" s="162">
        <v>253241</v>
      </c>
      <c r="E15" s="162">
        <v>354665</v>
      </c>
      <c r="F15" s="162">
        <v>367720</v>
      </c>
      <c r="G15" s="162">
        <v>376737</v>
      </c>
      <c r="H15" s="162">
        <v>371270</v>
      </c>
      <c r="I15" s="163">
        <f t="shared" si="0"/>
        <v>-1.4511449631971374E-2</v>
      </c>
      <c r="J15" s="163">
        <f>H15/H11</f>
        <v>0.84494957885657451</v>
      </c>
      <c r="K15" s="81"/>
      <c r="L15" s="81"/>
      <c r="M15" s="161" t="s">
        <v>110</v>
      </c>
      <c r="N15" s="162">
        <v>15077</v>
      </c>
      <c r="O15" s="162">
        <v>71312</v>
      </c>
      <c r="P15" s="162">
        <v>100894</v>
      </c>
      <c r="Q15" s="162">
        <v>104162</v>
      </c>
      <c r="R15" s="162">
        <v>107909</v>
      </c>
      <c r="S15" s="163">
        <f t="shared" si="1"/>
        <v>3.5972811581958863E-2</v>
      </c>
      <c r="T15" s="163">
        <f>R15/R11</f>
        <v>0.93468168038111732</v>
      </c>
    </row>
    <row r="16" spans="1:20" x14ac:dyDescent="0.25">
      <c r="B16" s="165" t="s">
        <v>113</v>
      </c>
      <c r="C16" s="166">
        <v>28660</v>
      </c>
      <c r="D16" s="166">
        <v>78133</v>
      </c>
      <c r="E16" s="166">
        <v>149677</v>
      </c>
      <c r="F16" s="166">
        <v>156510</v>
      </c>
      <c r="G16" s="166">
        <v>160094</v>
      </c>
      <c r="H16" s="166">
        <v>152423</v>
      </c>
      <c r="I16" s="167">
        <f t="shared" si="0"/>
        <v>-4.7915599585243718E-2</v>
      </c>
      <c r="J16" s="167">
        <f>H16/H11</f>
        <v>0.34688972892519099</v>
      </c>
      <c r="K16" s="81"/>
      <c r="L16" s="81"/>
      <c r="M16" s="165" t="s">
        <v>113</v>
      </c>
      <c r="N16" s="166">
        <v>8000</v>
      </c>
      <c r="O16" s="166">
        <v>24281</v>
      </c>
      <c r="P16" s="166">
        <v>48129</v>
      </c>
      <c r="Q16" s="166">
        <v>49377</v>
      </c>
      <c r="R16" s="166">
        <v>50165</v>
      </c>
      <c r="S16" s="167">
        <f t="shared" si="1"/>
        <v>1.5958847236567708E-2</v>
      </c>
      <c r="T16" s="167">
        <f>R16/R11</f>
        <v>0.43451710697271545</v>
      </c>
    </row>
    <row r="17" spans="1:20" x14ac:dyDescent="0.25">
      <c r="B17" s="165" t="s">
        <v>116</v>
      </c>
      <c r="C17" s="166">
        <v>6941</v>
      </c>
      <c r="D17" s="166">
        <v>35189</v>
      </c>
      <c r="E17" s="166">
        <v>39499</v>
      </c>
      <c r="F17" s="166">
        <v>42678</v>
      </c>
      <c r="G17" s="166">
        <v>42582</v>
      </c>
      <c r="H17" s="166">
        <v>42673</v>
      </c>
      <c r="I17" s="167">
        <f t="shared" si="0"/>
        <v>2.1370532149733723E-3</v>
      </c>
      <c r="J17" s="167">
        <f>H17/H11</f>
        <v>9.7116743551988058E-2</v>
      </c>
      <c r="K17" s="81"/>
      <c r="L17" s="81"/>
      <c r="M17" s="165" t="s">
        <v>116</v>
      </c>
      <c r="N17" s="166">
        <v>854</v>
      </c>
      <c r="O17" s="166">
        <v>3993</v>
      </c>
      <c r="P17" s="166">
        <v>4758</v>
      </c>
      <c r="Q17" s="166">
        <v>4975</v>
      </c>
      <c r="R17" s="166">
        <v>5171</v>
      </c>
      <c r="S17" s="167">
        <f t="shared" si="1"/>
        <v>3.939698492462318E-2</v>
      </c>
      <c r="T17" s="167">
        <f>R17/R11</f>
        <v>4.4789952360329149E-2</v>
      </c>
    </row>
    <row r="18" spans="1:20" x14ac:dyDescent="0.25">
      <c r="B18" s="165" t="s">
        <v>119</v>
      </c>
      <c r="C18" s="166">
        <v>4755</v>
      </c>
      <c r="D18" s="166">
        <v>15076</v>
      </c>
      <c r="E18" s="166">
        <v>18480</v>
      </c>
      <c r="F18" s="166">
        <v>15887</v>
      </c>
      <c r="G18" s="166">
        <v>15931</v>
      </c>
      <c r="H18" s="166">
        <v>16479</v>
      </c>
      <c r="I18" s="167">
        <f t="shared" si="0"/>
        <v>3.4398342853555919E-2</v>
      </c>
      <c r="J18" s="167">
        <f>H18/H11</f>
        <v>3.7503499097631079E-2</v>
      </c>
      <c r="K18" s="81"/>
      <c r="L18" s="81"/>
      <c r="M18" s="165" t="s">
        <v>119</v>
      </c>
      <c r="N18" s="166">
        <v>723</v>
      </c>
      <c r="O18" s="166">
        <v>2325</v>
      </c>
      <c r="P18" s="166">
        <v>2681</v>
      </c>
      <c r="Q18" s="166">
        <v>2053</v>
      </c>
      <c r="R18" s="166">
        <v>2212</v>
      </c>
      <c r="S18" s="167">
        <f t="shared" si="1"/>
        <v>7.7447637603507147E-2</v>
      </c>
      <c r="T18" s="167">
        <f>R18/R11</f>
        <v>1.9159809441316587E-2</v>
      </c>
    </row>
    <row r="19" spans="1:20" x14ac:dyDescent="0.25">
      <c r="B19" s="165" t="s">
        <v>126</v>
      </c>
      <c r="C19" s="166">
        <v>1433</v>
      </c>
      <c r="D19" s="166">
        <v>14357</v>
      </c>
      <c r="E19" s="166">
        <v>11551</v>
      </c>
      <c r="F19" s="166">
        <v>13604</v>
      </c>
      <c r="G19" s="166">
        <v>13487</v>
      </c>
      <c r="H19" s="166">
        <v>12570</v>
      </c>
      <c r="I19" s="167">
        <f t="shared" si="0"/>
        <v>-6.7991399125083452E-2</v>
      </c>
      <c r="J19" s="167">
        <f>H19/H11</f>
        <v>2.860725673021559E-2</v>
      </c>
      <c r="K19" s="81"/>
      <c r="L19" s="81"/>
      <c r="M19" s="165" t="s">
        <v>126</v>
      </c>
      <c r="N19" s="166">
        <v>571</v>
      </c>
      <c r="O19" s="166">
        <v>4599</v>
      </c>
      <c r="P19" s="166">
        <v>3770</v>
      </c>
      <c r="Q19" s="166">
        <v>4705</v>
      </c>
      <c r="R19" s="166">
        <v>4450</v>
      </c>
      <c r="S19" s="167">
        <f t="shared" si="1"/>
        <v>-5.4197662061636565E-2</v>
      </c>
      <c r="T19" s="167">
        <f>R19/R11</f>
        <v>3.8544824599393679E-2</v>
      </c>
    </row>
    <row r="20" spans="1:20" x14ac:dyDescent="0.25">
      <c r="B20" s="165" t="s">
        <v>122</v>
      </c>
      <c r="C20" s="166">
        <v>2657</v>
      </c>
      <c r="D20" s="166">
        <v>15230</v>
      </c>
      <c r="E20" s="166">
        <v>13797</v>
      </c>
      <c r="F20" s="166">
        <v>14493</v>
      </c>
      <c r="G20" s="166">
        <v>14656</v>
      </c>
      <c r="H20" s="166">
        <v>14550</v>
      </c>
      <c r="I20" s="167">
        <f t="shared" si="0"/>
        <v>-7.2325327510917026E-3</v>
      </c>
      <c r="J20" s="167">
        <f>H20/H11</f>
        <v>3.3113411728292512E-2</v>
      </c>
      <c r="K20" s="81"/>
      <c r="L20" s="81"/>
      <c r="M20" s="165" t="s">
        <v>122</v>
      </c>
      <c r="N20" s="166">
        <v>554</v>
      </c>
      <c r="O20" s="166">
        <v>3955</v>
      </c>
      <c r="P20" s="166">
        <v>4166</v>
      </c>
      <c r="Q20" s="166">
        <v>4414</v>
      </c>
      <c r="R20" s="166">
        <v>4236</v>
      </c>
      <c r="S20" s="167">
        <f t="shared" si="1"/>
        <v>-4.0326234707748099E-2</v>
      </c>
      <c r="T20" s="167">
        <f>R20/R11</f>
        <v>3.6691208315288E-2</v>
      </c>
    </row>
    <row r="21" spans="1:20" x14ac:dyDescent="0.25">
      <c r="B21" s="165" t="s">
        <v>131</v>
      </c>
      <c r="C21" s="166">
        <v>113</v>
      </c>
      <c r="D21" s="166">
        <v>6827</v>
      </c>
      <c r="E21" s="166">
        <v>7805</v>
      </c>
      <c r="F21" s="166">
        <v>7602</v>
      </c>
      <c r="G21" s="166">
        <v>7997</v>
      </c>
      <c r="H21" s="166">
        <v>7051</v>
      </c>
      <c r="I21" s="167">
        <f t="shared" si="0"/>
        <v>-0.1182943603851444</v>
      </c>
      <c r="J21" s="167">
        <f>H21/H11</f>
        <v>1.6046918632040583E-2</v>
      </c>
      <c r="K21" s="81"/>
      <c r="L21" s="81"/>
      <c r="M21" s="165" t="s">
        <v>131</v>
      </c>
      <c r="N21" s="166">
        <v>39</v>
      </c>
      <c r="O21" s="166">
        <v>2647</v>
      </c>
      <c r="P21" s="166">
        <v>2675</v>
      </c>
      <c r="Q21" s="166">
        <v>2879</v>
      </c>
      <c r="R21" s="166">
        <v>3064</v>
      </c>
      <c r="S21" s="167">
        <f t="shared" si="1"/>
        <v>6.4258423063563663E-2</v>
      </c>
      <c r="T21" s="167">
        <f>R21/R11</f>
        <v>2.6539627544391511E-2</v>
      </c>
    </row>
    <row r="22" spans="1:20" x14ac:dyDescent="0.25">
      <c r="A22" s="169"/>
      <c r="B22" s="165" t="s">
        <v>134</v>
      </c>
      <c r="C22" s="166">
        <v>605</v>
      </c>
      <c r="D22" s="166">
        <v>7237</v>
      </c>
      <c r="E22" s="166">
        <v>10970</v>
      </c>
      <c r="F22" s="166">
        <v>12283</v>
      </c>
      <c r="G22" s="166">
        <v>11491</v>
      </c>
      <c r="H22" s="166">
        <v>9797</v>
      </c>
      <c r="I22" s="167">
        <f t="shared" si="0"/>
        <v>-0.1474197197806979</v>
      </c>
      <c r="J22" s="167">
        <f>H22/H11</f>
        <v>2.2296363897050288E-2</v>
      </c>
      <c r="K22" s="81"/>
      <c r="L22" s="81"/>
      <c r="M22" s="165" t="s">
        <v>134</v>
      </c>
      <c r="N22" s="166">
        <v>406</v>
      </c>
      <c r="O22" s="166">
        <v>3467</v>
      </c>
      <c r="P22" s="166">
        <v>3949</v>
      </c>
      <c r="Q22" s="166">
        <v>4580</v>
      </c>
      <c r="R22" s="166">
        <v>4168</v>
      </c>
      <c r="S22" s="167">
        <f t="shared" si="1"/>
        <v>-8.9956331877729223E-2</v>
      </c>
      <c r="T22" s="167">
        <f>R22/R11</f>
        <v>3.610220874837592E-2</v>
      </c>
    </row>
    <row r="23" spans="1:20" x14ac:dyDescent="0.25">
      <c r="B23" s="170" t="s">
        <v>148</v>
      </c>
      <c r="C23" s="171">
        <f t="shared" ref="C23:H23" si="2">C15-SUM(C16:C22)</f>
        <v>16080</v>
      </c>
      <c r="D23" s="171">
        <f t="shared" si="2"/>
        <v>81192</v>
      </c>
      <c r="E23" s="171">
        <f t="shared" si="2"/>
        <v>102886</v>
      </c>
      <c r="F23" s="171">
        <f t="shared" si="2"/>
        <v>104663</v>
      </c>
      <c r="G23" s="171">
        <f t="shared" si="2"/>
        <v>110499</v>
      </c>
      <c r="H23" s="171">
        <f t="shared" si="2"/>
        <v>115727</v>
      </c>
      <c r="I23" s="172">
        <f t="shared" si="0"/>
        <v>4.7312645363306371E-2</v>
      </c>
      <c r="J23" s="172">
        <f>H23/H11</f>
        <v>0.26337565629416543</v>
      </c>
      <c r="K23" s="173"/>
      <c r="L23" s="173"/>
      <c r="M23" s="170" t="s">
        <v>148</v>
      </c>
      <c r="N23" s="171">
        <f>N15-SUM(N16:N22)</f>
        <v>3930</v>
      </c>
      <c r="O23" s="171">
        <f>O15-SUM(O16:O22)</f>
        <v>26045</v>
      </c>
      <c r="P23" s="171">
        <f>P15-SUM(P16:P22)</f>
        <v>30766</v>
      </c>
      <c r="Q23" s="171">
        <f>Q15-SUM(Q16:Q22)</f>
        <v>31179</v>
      </c>
      <c r="R23" s="171">
        <f>R15-SUM(R16:R22)</f>
        <v>34443</v>
      </c>
      <c r="S23" s="172">
        <f t="shared" si="1"/>
        <v>0.10468584624266342</v>
      </c>
      <c r="T23" s="172">
        <f>R23/R11</f>
        <v>0.29833694239930708</v>
      </c>
    </row>
    <row r="24" spans="1:20" x14ac:dyDescent="0.25">
      <c r="B24" s="157" t="s">
        <v>47</v>
      </c>
      <c r="C24" s="176"/>
      <c r="D24" s="176"/>
      <c r="E24" s="176"/>
      <c r="F24" s="176"/>
      <c r="G24" s="176"/>
      <c r="H24" s="176"/>
      <c r="I24" s="177"/>
      <c r="J24" s="177"/>
      <c r="K24" s="107"/>
      <c r="L24" s="107"/>
      <c r="M24" s="107"/>
      <c r="N24" s="107"/>
      <c r="O24" s="107"/>
      <c r="P24" s="107"/>
      <c r="Q24" s="107"/>
      <c r="R24" s="107"/>
      <c r="S24" s="107"/>
    </row>
    <row r="25" spans="1:20" x14ac:dyDescent="0.25">
      <c r="B25" s="158" t="s">
        <v>12</v>
      </c>
      <c r="C25" s="178">
        <v>27724</v>
      </c>
      <c r="D25" s="178">
        <v>114122</v>
      </c>
      <c r="E25" s="178">
        <v>153975</v>
      </c>
      <c r="F25" s="178">
        <v>161770</v>
      </c>
      <c r="G25" s="178">
        <v>159454</v>
      </c>
      <c r="H25" s="178">
        <v>155221</v>
      </c>
      <c r="I25" s="179">
        <f t="shared" ref="I25:I37" si="3">IFERROR(H25/G25-1,"-")</f>
        <v>-2.6546841095237528E-2</v>
      </c>
      <c r="J25" s="179">
        <f>H25/H25</f>
        <v>1</v>
      </c>
    </row>
    <row r="26" spans="1:20" x14ac:dyDescent="0.25">
      <c r="B26" s="161" t="s">
        <v>100</v>
      </c>
      <c r="C26" s="162">
        <v>6173</v>
      </c>
      <c r="D26" s="162">
        <v>14036</v>
      </c>
      <c r="E26" s="162">
        <v>12901</v>
      </c>
      <c r="F26" s="162">
        <v>11834</v>
      </c>
      <c r="G26" s="162">
        <v>10813</v>
      </c>
      <c r="H26" s="162">
        <v>9872</v>
      </c>
      <c r="I26" s="163">
        <f t="shared" si="3"/>
        <v>-8.702487746231391E-2</v>
      </c>
      <c r="J26" s="163">
        <f>H26/H25</f>
        <v>6.3599641801044965E-2</v>
      </c>
    </row>
    <row r="27" spans="1:20" x14ac:dyDescent="0.25">
      <c r="B27" s="165" t="s">
        <v>106</v>
      </c>
      <c r="C27" s="166">
        <v>3518</v>
      </c>
      <c r="D27" s="166">
        <v>5472</v>
      </c>
      <c r="E27" s="166">
        <v>4487</v>
      </c>
      <c r="F27" s="166">
        <v>4039</v>
      </c>
      <c r="G27" s="166">
        <v>3217</v>
      </c>
      <c r="H27" s="166">
        <v>3345</v>
      </c>
      <c r="I27" s="167">
        <f t="shared" si="3"/>
        <v>3.9788622940627905E-2</v>
      </c>
      <c r="J27" s="167">
        <f>H27/H25</f>
        <v>2.1549919147538028E-2</v>
      </c>
    </row>
    <row r="28" spans="1:20" x14ac:dyDescent="0.25">
      <c r="B28" s="165" t="s">
        <v>103</v>
      </c>
      <c r="C28" s="166">
        <v>2655</v>
      </c>
      <c r="D28" s="166">
        <v>8564</v>
      </c>
      <c r="E28" s="166">
        <v>8414</v>
      </c>
      <c r="F28" s="166">
        <v>7795</v>
      </c>
      <c r="G28" s="166">
        <v>7596</v>
      </c>
      <c r="H28" s="166">
        <v>6527</v>
      </c>
      <c r="I28" s="167">
        <f t="shared" si="3"/>
        <v>-0.14073196419167988</v>
      </c>
      <c r="J28" s="167">
        <f>H28/H25</f>
        <v>4.2049722653506934E-2</v>
      </c>
    </row>
    <row r="29" spans="1:20" x14ac:dyDescent="0.25">
      <c r="B29" s="161" t="s">
        <v>110</v>
      </c>
      <c r="C29" s="162">
        <v>21551</v>
      </c>
      <c r="D29" s="162">
        <v>100086</v>
      </c>
      <c r="E29" s="162">
        <v>141074</v>
      </c>
      <c r="F29" s="162">
        <v>149936</v>
      </c>
      <c r="G29" s="162">
        <v>148641</v>
      </c>
      <c r="H29" s="162">
        <v>145349</v>
      </c>
      <c r="I29" s="163">
        <f t="shared" si="3"/>
        <v>-2.2147321398537367E-2</v>
      </c>
      <c r="J29" s="163">
        <f>H29/H25</f>
        <v>0.93640035819895506</v>
      </c>
    </row>
    <row r="30" spans="1:20" x14ac:dyDescent="0.25">
      <c r="B30" s="165" t="s">
        <v>113</v>
      </c>
      <c r="C30" s="166">
        <v>10094</v>
      </c>
      <c r="D30" s="166">
        <v>36596</v>
      </c>
      <c r="E30" s="166">
        <v>68205</v>
      </c>
      <c r="F30" s="166">
        <v>71849</v>
      </c>
      <c r="G30" s="166">
        <v>73815</v>
      </c>
      <c r="H30" s="166">
        <v>70997</v>
      </c>
      <c r="I30" s="167">
        <f t="shared" si="3"/>
        <v>-3.8176522387048717E-2</v>
      </c>
      <c r="J30" s="167">
        <f>H30/H25</f>
        <v>0.45739300738946403</v>
      </c>
    </row>
    <row r="31" spans="1:20" x14ac:dyDescent="0.25">
      <c r="B31" s="165" t="s">
        <v>116</v>
      </c>
      <c r="C31" s="166">
        <v>2984</v>
      </c>
      <c r="D31" s="166">
        <v>13995</v>
      </c>
      <c r="E31" s="166">
        <v>14767</v>
      </c>
      <c r="F31" s="166">
        <v>16418</v>
      </c>
      <c r="G31" s="166">
        <v>15334</v>
      </c>
      <c r="H31" s="166">
        <v>14619</v>
      </c>
      <c r="I31" s="167">
        <f t="shared" si="3"/>
        <v>-4.6628407460545196E-2</v>
      </c>
      <c r="J31" s="167">
        <f>H31/H25</f>
        <v>9.4181843951527178E-2</v>
      </c>
    </row>
    <row r="32" spans="1:20" x14ac:dyDescent="0.25">
      <c r="B32" s="165" t="s">
        <v>119</v>
      </c>
      <c r="C32" s="166">
        <v>1485</v>
      </c>
      <c r="D32" s="166">
        <v>5209</v>
      </c>
      <c r="E32" s="166">
        <v>5577</v>
      </c>
      <c r="F32" s="166">
        <v>4673</v>
      </c>
      <c r="G32" s="166">
        <v>4199</v>
      </c>
      <c r="H32" s="166">
        <v>4024</v>
      </c>
      <c r="I32" s="167">
        <f t="shared" si="3"/>
        <v>-4.1676589664205732E-2</v>
      </c>
      <c r="J32" s="167">
        <f>H32/H25</f>
        <v>2.5924327249534536E-2</v>
      </c>
    </row>
    <row r="33" spans="2:10" x14ac:dyDescent="0.25">
      <c r="B33" s="165" t="s">
        <v>126</v>
      </c>
      <c r="C33" s="166">
        <v>414</v>
      </c>
      <c r="D33" s="166">
        <v>5617</v>
      </c>
      <c r="E33" s="166">
        <v>4695</v>
      </c>
      <c r="F33" s="166">
        <v>5198</v>
      </c>
      <c r="G33" s="166">
        <v>5174</v>
      </c>
      <c r="H33" s="166">
        <v>5218</v>
      </c>
      <c r="I33" s="167">
        <f t="shared" si="3"/>
        <v>8.5040587553151248E-3</v>
      </c>
      <c r="J33" s="167">
        <f>H33/H25</f>
        <v>3.3616585384709546E-2</v>
      </c>
    </row>
    <row r="34" spans="2:10" x14ac:dyDescent="0.25">
      <c r="B34" s="165" t="s">
        <v>122</v>
      </c>
      <c r="C34" s="166">
        <v>1396</v>
      </c>
      <c r="D34" s="166">
        <v>8563</v>
      </c>
      <c r="E34" s="166">
        <v>7335</v>
      </c>
      <c r="F34" s="166">
        <v>7743</v>
      </c>
      <c r="G34" s="166">
        <v>7580</v>
      </c>
      <c r="H34" s="166">
        <v>7909</v>
      </c>
      <c r="I34" s="167">
        <f t="shared" si="3"/>
        <v>4.3403693931398424E-2</v>
      </c>
      <c r="J34" s="167">
        <f>H34/H25</f>
        <v>5.0953157111473316E-2</v>
      </c>
    </row>
    <row r="35" spans="2:10" x14ac:dyDescent="0.25">
      <c r="B35" s="165" t="s">
        <v>131</v>
      </c>
      <c r="C35" s="166">
        <v>24</v>
      </c>
      <c r="D35" s="166">
        <v>2091</v>
      </c>
      <c r="E35" s="166">
        <v>2400</v>
      </c>
      <c r="F35" s="166">
        <v>2463</v>
      </c>
      <c r="G35" s="166">
        <v>2655</v>
      </c>
      <c r="H35" s="166">
        <v>2631</v>
      </c>
      <c r="I35" s="167">
        <f t="shared" si="3"/>
        <v>-9.0395480225988756E-3</v>
      </c>
      <c r="J35" s="167">
        <f>H35/H25</f>
        <v>1.6950026091830359E-2</v>
      </c>
    </row>
    <row r="36" spans="2:10" x14ac:dyDescent="0.25">
      <c r="B36" s="165" t="s">
        <v>134</v>
      </c>
      <c r="C36" s="166">
        <v>61</v>
      </c>
      <c r="D36" s="166">
        <v>1633</v>
      </c>
      <c r="E36" s="166">
        <v>3908</v>
      </c>
      <c r="F36" s="166">
        <v>4511</v>
      </c>
      <c r="G36" s="166">
        <v>3656</v>
      </c>
      <c r="H36" s="166">
        <v>3594</v>
      </c>
      <c r="I36" s="167">
        <f t="shared" si="3"/>
        <v>-1.6958424507658609E-2</v>
      </c>
      <c r="J36" s="167">
        <f>H36/H25</f>
        <v>2.3154083532511711E-2</v>
      </c>
    </row>
    <row r="37" spans="2:10" x14ac:dyDescent="0.25">
      <c r="B37" s="170" t="s">
        <v>148</v>
      </c>
      <c r="C37" s="171">
        <f t="shared" ref="C37:H37" si="4">C29-SUM(C30:C36)</f>
        <v>5093</v>
      </c>
      <c r="D37" s="171">
        <f t="shared" si="4"/>
        <v>26382</v>
      </c>
      <c r="E37" s="171">
        <f t="shared" si="4"/>
        <v>34187</v>
      </c>
      <c r="F37" s="171">
        <f t="shared" si="4"/>
        <v>37081</v>
      </c>
      <c r="G37" s="171">
        <f t="shared" si="4"/>
        <v>36228</v>
      </c>
      <c r="H37" s="171">
        <f t="shared" si="4"/>
        <v>36357</v>
      </c>
      <c r="I37" s="172">
        <f t="shared" si="3"/>
        <v>3.5607817157998767E-3</v>
      </c>
      <c r="J37" s="172">
        <f>H37/H25</f>
        <v>0.23422732748790434</v>
      </c>
    </row>
    <row r="38" spans="2:10" x14ac:dyDescent="0.25">
      <c r="B38" s="157" t="s">
        <v>48</v>
      </c>
      <c r="C38" s="176"/>
      <c r="D38" s="176"/>
      <c r="E38" s="176"/>
      <c r="F38" s="176"/>
      <c r="G38" s="176"/>
      <c r="H38" s="176"/>
      <c r="I38" s="177"/>
      <c r="J38" s="177"/>
    </row>
    <row r="39" spans="2:10" x14ac:dyDescent="0.25">
      <c r="B39" s="158" t="s">
        <v>71</v>
      </c>
      <c r="C39" s="178">
        <v>17398</v>
      </c>
      <c r="D39" s="178">
        <v>78855</v>
      </c>
      <c r="E39" s="178">
        <v>108917</v>
      </c>
      <c r="F39" s="178">
        <v>111619</v>
      </c>
      <c r="G39" s="178">
        <v>115450</v>
      </c>
      <c r="H39" s="178">
        <v>110730</v>
      </c>
      <c r="I39" s="179">
        <f t="shared" ref="I39:I51" si="5">IFERROR(H39/G39-1,"-")</f>
        <v>-4.0883499350368169E-2</v>
      </c>
      <c r="J39" s="179">
        <f>H39/H39</f>
        <v>1</v>
      </c>
    </row>
    <row r="40" spans="2:10" x14ac:dyDescent="0.25">
      <c r="B40" s="161" t="s">
        <v>100</v>
      </c>
      <c r="C40" s="162">
        <v>2321</v>
      </c>
      <c r="D40" s="162">
        <v>7543</v>
      </c>
      <c r="E40" s="162">
        <v>8023</v>
      </c>
      <c r="F40" s="162">
        <v>7457</v>
      </c>
      <c r="G40" s="162">
        <v>7541</v>
      </c>
      <c r="H40" s="162">
        <v>7552</v>
      </c>
      <c r="I40" s="163">
        <f t="shared" si="5"/>
        <v>1.4586924811033075E-3</v>
      </c>
      <c r="J40" s="163">
        <f>H40/H39</f>
        <v>6.8201932628917189E-2</v>
      </c>
    </row>
    <row r="41" spans="2:10" x14ac:dyDescent="0.25">
      <c r="B41" s="165" t="s">
        <v>106</v>
      </c>
      <c r="C41" s="166">
        <v>1300</v>
      </c>
      <c r="D41" s="166">
        <v>2651</v>
      </c>
      <c r="E41" s="166">
        <v>1974</v>
      </c>
      <c r="F41" s="166">
        <v>2803</v>
      </c>
      <c r="G41" s="166">
        <v>2740</v>
      </c>
      <c r="H41" s="166">
        <v>3218</v>
      </c>
      <c r="I41" s="167">
        <f t="shared" si="5"/>
        <v>0.17445255474452548</v>
      </c>
      <c r="J41" s="167">
        <f>H41/H39</f>
        <v>2.9061681567777477E-2</v>
      </c>
    </row>
    <row r="42" spans="2:10" x14ac:dyDescent="0.25">
      <c r="B42" s="165" t="s">
        <v>103</v>
      </c>
      <c r="C42" s="166">
        <v>1021</v>
      </c>
      <c r="D42" s="166">
        <v>4892</v>
      </c>
      <c r="E42" s="166">
        <v>6049</v>
      </c>
      <c r="F42" s="166">
        <v>4654</v>
      </c>
      <c r="G42" s="166">
        <v>4801</v>
      </c>
      <c r="H42" s="166">
        <v>4334</v>
      </c>
      <c r="I42" s="167">
        <f t="shared" si="5"/>
        <v>-9.7271401791293455E-2</v>
      </c>
      <c r="J42" s="167">
        <f>H42/H39</f>
        <v>3.9140251061139712E-2</v>
      </c>
    </row>
    <row r="43" spans="2:10" x14ac:dyDescent="0.25">
      <c r="B43" s="161" t="s">
        <v>110</v>
      </c>
      <c r="C43" s="162">
        <v>15077</v>
      </c>
      <c r="D43" s="162">
        <v>71312</v>
      </c>
      <c r="E43" s="162">
        <v>100894</v>
      </c>
      <c r="F43" s="162">
        <v>104162</v>
      </c>
      <c r="G43" s="162">
        <v>107909</v>
      </c>
      <c r="H43" s="162">
        <v>103178</v>
      </c>
      <c r="I43" s="163">
        <f t="shared" si="5"/>
        <v>-4.3842496918700014E-2</v>
      </c>
      <c r="J43" s="163">
        <f>H43/H39</f>
        <v>0.93179806737108284</v>
      </c>
    </row>
    <row r="44" spans="2:10" x14ac:dyDescent="0.25">
      <c r="B44" s="165" t="s">
        <v>113</v>
      </c>
      <c r="C44" s="166">
        <v>8000</v>
      </c>
      <c r="D44" s="166">
        <v>24281</v>
      </c>
      <c r="E44" s="166">
        <v>48129</v>
      </c>
      <c r="F44" s="166">
        <v>49377</v>
      </c>
      <c r="G44" s="166">
        <v>50165</v>
      </c>
      <c r="H44" s="166">
        <v>46754</v>
      </c>
      <c r="I44" s="167">
        <f t="shared" si="5"/>
        <v>-6.7995614472241561E-2</v>
      </c>
      <c r="J44" s="167">
        <f>H44/H39</f>
        <v>0.42223426352388693</v>
      </c>
    </row>
    <row r="45" spans="2:10" x14ac:dyDescent="0.25">
      <c r="B45" s="165" t="s">
        <v>116</v>
      </c>
      <c r="C45" s="166">
        <v>854</v>
      </c>
      <c r="D45" s="166">
        <v>3993</v>
      </c>
      <c r="E45" s="166">
        <v>4758</v>
      </c>
      <c r="F45" s="166">
        <v>4975</v>
      </c>
      <c r="G45" s="166">
        <v>5171</v>
      </c>
      <c r="H45" s="166">
        <v>5606</v>
      </c>
      <c r="I45" s="167">
        <f t="shared" si="5"/>
        <v>8.4122993618255704E-2</v>
      </c>
      <c r="J45" s="167">
        <f>H45/H39</f>
        <v>5.0627652849273008E-2</v>
      </c>
    </row>
    <row r="46" spans="2:10" x14ac:dyDescent="0.25">
      <c r="B46" s="165" t="s">
        <v>119</v>
      </c>
      <c r="C46" s="166">
        <v>723</v>
      </c>
      <c r="D46" s="166">
        <v>2325</v>
      </c>
      <c r="E46" s="166">
        <v>2681</v>
      </c>
      <c r="F46" s="166">
        <v>2053</v>
      </c>
      <c r="G46" s="166">
        <v>2212</v>
      </c>
      <c r="H46" s="166">
        <v>2738</v>
      </c>
      <c r="I46" s="167">
        <f t="shared" si="5"/>
        <v>0.23779385171790235</v>
      </c>
      <c r="J46" s="167">
        <f>H46/H39</f>
        <v>2.4726812968481893E-2</v>
      </c>
    </row>
    <row r="47" spans="2:10" x14ac:dyDescent="0.25">
      <c r="B47" s="165" t="s">
        <v>126</v>
      </c>
      <c r="C47" s="166">
        <v>571</v>
      </c>
      <c r="D47" s="166">
        <v>4599</v>
      </c>
      <c r="E47" s="166">
        <v>3770</v>
      </c>
      <c r="F47" s="166">
        <v>4705</v>
      </c>
      <c r="G47" s="166">
        <v>4450</v>
      </c>
      <c r="H47" s="166">
        <v>3950</v>
      </c>
      <c r="I47" s="167">
        <f t="shared" si="5"/>
        <v>-0.11235955056179781</v>
      </c>
      <c r="J47" s="167">
        <f>H47/H39</f>
        <v>3.5672356181703245E-2</v>
      </c>
    </row>
    <row r="48" spans="2:10" x14ac:dyDescent="0.25">
      <c r="B48" s="165" t="s">
        <v>122</v>
      </c>
      <c r="C48" s="166">
        <v>554</v>
      </c>
      <c r="D48" s="166">
        <v>3955</v>
      </c>
      <c r="E48" s="166">
        <v>4166</v>
      </c>
      <c r="F48" s="166">
        <v>4414</v>
      </c>
      <c r="G48" s="166">
        <v>4236</v>
      </c>
      <c r="H48" s="166">
        <v>3677</v>
      </c>
      <c r="I48" s="167">
        <f t="shared" si="5"/>
        <v>-0.13196411709159583</v>
      </c>
      <c r="J48" s="167">
        <f>H48/H39</f>
        <v>3.3206899665853877E-2</v>
      </c>
    </row>
    <row r="49" spans="2:10" x14ac:dyDescent="0.25">
      <c r="B49" s="165" t="s">
        <v>131</v>
      </c>
      <c r="C49" s="166">
        <v>39</v>
      </c>
      <c r="D49" s="166">
        <v>2647</v>
      </c>
      <c r="E49" s="166">
        <v>2675</v>
      </c>
      <c r="F49" s="166">
        <v>2879</v>
      </c>
      <c r="G49" s="166">
        <v>3064</v>
      </c>
      <c r="H49" s="166">
        <v>2502</v>
      </c>
      <c r="I49" s="167">
        <f t="shared" si="5"/>
        <v>-0.18342036553524799</v>
      </c>
      <c r="J49" s="167">
        <f>H49/H39</f>
        <v>2.2595502573828231E-2</v>
      </c>
    </row>
    <row r="50" spans="2:10" x14ac:dyDescent="0.25">
      <c r="B50" s="165" t="s">
        <v>134</v>
      </c>
      <c r="C50" s="166">
        <v>406</v>
      </c>
      <c r="D50" s="166">
        <v>3467</v>
      </c>
      <c r="E50" s="166">
        <v>3949</v>
      </c>
      <c r="F50" s="166">
        <v>4580</v>
      </c>
      <c r="G50" s="166">
        <v>4168</v>
      </c>
      <c r="H50" s="166">
        <v>3370</v>
      </c>
      <c r="I50" s="167">
        <f t="shared" si="5"/>
        <v>-0.19145873320537432</v>
      </c>
      <c r="J50" s="167">
        <f>H50/H39</f>
        <v>3.043438995755441E-2</v>
      </c>
    </row>
    <row r="51" spans="2:10" x14ac:dyDescent="0.25">
      <c r="B51" s="170" t="s">
        <v>148</v>
      </c>
      <c r="C51" s="171">
        <f t="shared" ref="C51:H51" si="6">C43-SUM(C44:C50)</f>
        <v>3930</v>
      </c>
      <c r="D51" s="171">
        <f t="shared" si="6"/>
        <v>26045</v>
      </c>
      <c r="E51" s="171">
        <f t="shared" si="6"/>
        <v>30766</v>
      </c>
      <c r="F51" s="171">
        <f t="shared" si="6"/>
        <v>31179</v>
      </c>
      <c r="G51" s="171">
        <f t="shared" si="6"/>
        <v>34443</v>
      </c>
      <c r="H51" s="171">
        <f t="shared" si="6"/>
        <v>34581</v>
      </c>
      <c r="I51" s="172">
        <f t="shared" si="5"/>
        <v>4.0066196324362036E-3</v>
      </c>
      <c r="J51" s="172">
        <f>H51/H39</f>
        <v>0.31230018965050121</v>
      </c>
    </row>
    <row r="52" spans="2:10" x14ac:dyDescent="0.25">
      <c r="B52" s="157" t="s">
        <v>49</v>
      </c>
      <c r="C52" s="176"/>
      <c r="D52" s="176"/>
      <c r="E52" s="176"/>
      <c r="F52" s="176"/>
      <c r="G52" s="176"/>
      <c r="H52" s="176"/>
      <c r="I52" s="177"/>
      <c r="J52" s="177"/>
    </row>
    <row r="53" spans="2:10" x14ac:dyDescent="0.25">
      <c r="B53" s="158" t="s">
        <v>71</v>
      </c>
      <c r="C53" s="178">
        <v>469</v>
      </c>
      <c r="D53" s="178">
        <v>2479</v>
      </c>
      <c r="E53" s="178">
        <v>4675</v>
      </c>
      <c r="F53" s="178">
        <v>5492</v>
      </c>
      <c r="G53" s="178">
        <v>4480</v>
      </c>
      <c r="H53" s="178">
        <v>3504</v>
      </c>
      <c r="I53" s="179">
        <f t="shared" ref="I53:I65" si="7">IFERROR(H53/G53-1,"-")</f>
        <v>-0.21785714285714286</v>
      </c>
      <c r="J53" s="179">
        <f>H53/H53</f>
        <v>1</v>
      </c>
    </row>
    <row r="54" spans="2:10" x14ac:dyDescent="0.25">
      <c r="B54" s="161" t="s">
        <v>100</v>
      </c>
      <c r="C54" s="162">
        <v>3</v>
      </c>
      <c r="D54" s="162">
        <v>209</v>
      </c>
      <c r="E54" s="162">
        <v>1225</v>
      </c>
      <c r="F54" s="162">
        <v>1986</v>
      </c>
      <c r="G54" s="162">
        <v>984</v>
      </c>
      <c r="H54" s="162">
        <v>649</v>
      </c>
      <c r="I54" s="163">
        <f t="shared" si="7"/>
        <v>-0.34044715447154472</v>
      </c>
      <c r="J54" s="163">
        <f>H54/H53</f>
        <v>0.18521689497716895</v>
      </c>
    </row>
    <row r="55" spans="2:10" x14ac:dyDescent="0.25">
      <c r="B55" s="165" t="s">
        <v>106</v>
      </c>
      <c r="C55" s="166">
        <v>0</v>
      </c>
      <c r="D55" s="166">
        <v>65</v>
      </c>
      <c r="E55" s="166">
        <v>770</v>
      </c>
      <c r="F55" s="166">
        <v>1503</v>
      </c>
      <c r="G55" s="166">
        <v>546</v>
      </c>
      <c r="H55" s="166">
        <v>403</v>
      </c>
      <c r="I55" s="167">
        <f t="shared" si="7"/>
        <v>-0.26190476190476186</v>
      </c>
      <c r="J55" s="167">
        <f>H55/H53</f>
        <v>0.11501141552511415</v>
      </c>
    </row>
    <row r="56" spans="2:10" x14ac:dyDescent="0.25">
      <c r="B56" s="165" t="s">
        <v>103</v>
      </c>
      <c r="C56" s="166">
        <v>3</v>
      </c>
      <c r="D56" s="166">
        <v>144</v>
      </c>
      <c r="E56" s="166">
        <v>455</v>
      </c>
      <c r="F56" s="166">
        <v>483</v>
      </c>
      <c r="G56" s="166">
        <v>438</v>
      </c>
      <c r="H56" s="166">
        <v>246</v>
      </c>
      <c r="I56" s="167">
        <f t="shared" si="7"/>
        <v>-0.43835616438356162</v>
      </c>
      <c r="J56" s="167">
        <f>H56/H53</f>
        <v>7.0205479452054798E-2</v>
      </c>
    </row>
    <row r="57" spans="2:10" x14ac:dyDescent="0.25">
      <c r="B57" s="161" t="s">
        <v>110</v>
      </c>
      <c r="C57" s="162">
        <v>466</v>
      </c>
      <c r="D57" s="162">
        <v>2270</v>
      </c>
      <c r="E57" s="162">
        <v>3450</v>
      </c>
      <c r="F57" s="162">
        <v>3506</v>
      </c>
      <c r="G57" s="162">
        <v>3496</v>
      </c>
      <c r="H57" s="162">
        <v>2855</v>
      </c>
      <c r="I57" s="163">
        <f t="shared" si="7"/>
        <v>-0.1833524027459954</v>
      </c>
      <c r="J57" s="163">
        <f>H57/H53</f>
        <v>0.81478310502283102</v>
      </c>
    </row>
    <row r="58" spans="2:10" x14ac:dyDescent="0.25">
      <c r="B58" s="165" t="s">
        <v>113</v>
      </c>
      <c r="C58" s="166">
        <v>55</v>
      </c>
      <c r="D58" s="166">
        <v>494</v>
      </c>
      <c r="E58" s="166">
        <v>913</v>
      </c>
      <c r="F58" s="166">
        <v>872</v>
      </c>
      <c r="G58" s="166">
        <v>936</v>
      </c>
      <c r="H58" s="166">
        <v>823</v>
      </c>
      <c r="I58" s="167">
        <f t="shared" si="7"/>
        <v>-0.12072649572649574</v>
      </c>
      <c r="J58" s="167">
        <f>H58/H53</f>
        <v>0.2348744292237443</v>
      </c>
    </row>
    <row r="59" spans="2:10" x14ac:dyDescent="0.25">
      <c r="B59" s="165" t="s">
        <v>116</v>
      </c>
      <c r="C59" s="166">
        <v>266</v>
      </c>
      <c r="D59" s="166">
        <v>927</v>
      </c>
      <c r="E59" s="166">
        <v>779</v>
      </c>
      <c r="F59" s="166">
        <v>860</v>
      </c>
      <c r="G59" s="166">
        <v>761</v>
      </c>
      <c r="H59" s="166">
        <v>700</v>
      </c>
      <c r="I59" s="167">
        <f t="shared" si="7"/>
        <v>-8.0157687253613719E-2</v>
      </c>
      <c r="J59" s="167">
        <f>H59/H53</f>
        <v>0.1997716894977169</v>
      </c>
    </row>
    <row r="60" spans="2:10" x14ac:dyDescent="0.25">
      <c r="B60" s="165" t="s">
        <v>119</v>
      </c>
      <c r="C60" s="166">
        <v>13</v>
      </c>
      <c r="D60" s="166">
        <v>105</v>
      </c>
      <c r="E60" s="166">
        <v>363</v>
      </c>
      <c r="F60" s="166">
        <v>307</v>
      </c>
      <c r="G60" s="166">
        <v>158</v>
      </c>
      <c r="H60" s="166">
        <v>212</v>
      </c>
      <c r="I60" s="167">
        <f t="shared" si="7"/>
        <v>0.34177215189873422</v>
      </c>
      <c r="J60" s="167">
        <f>H60/H53</f>
        <v>6.0502283105022828E-2</v>
      </c>
    </row>
    <row r="61" spans="2:10" x14ac:dyDescent="0.25">
      <c r="B61" s="165" t="s">
        <v>126</v>
      </c>
      <c r="C61" s="166">
        <v>23</v>
      </c>
      <c r="D61" s="166">
        <v>64</v>
      </c>
      <c r="E61" s="166">
        <v>62</v>
      </c>
      <c r="F61" s="166">
        <v>91</v>
      </c>
      <c r="G61" s="166">
        <v>113</v>
      </c>
      <c r="H61" s="166">
        <v>124</v>
      </c>
      <c r="I61" s="167">
        <f t="shared" si="7"/>
        <v>9.7345132743362761E-2</v>
      </c>
      <c r="J61" s="167">
        <f>H61/H53</f>
        <v>3.5388127853881277E-2</v>
      </c>
    </row>
    <row r="62" spans="2:10" x14ac:dyDescent="0.25">
      <c r="B62" s="165" t="s">
        <v>122</v>
      </c>
      <c r="C62" s="166">
        <v>6</v>
      </c>
      <c r="D62" s="166">
        <v>53</v>
      </c>
      <c r="E62" s="166">
        <v>63</v>
      </c>
      <c r="F62" s="166">
        <v>92</v>
      </c>
      <c r="G62" s="166">
        <v>119</v>
      </c>
      <c r="H62" s="166">
        <v>122</v>
      </c>
      <c r="I62" s="167">
        <f t="shared" si="7"/>
        <v>2.5210084033613356E-2</v>
      </c>
      <c r="J62" s="167">
        <f>H62/H53</f>
        <v>3.4817351598173514E-2</v>
      </c>
    </row>
    <row r="63" spans="2:10" x14ac:dyDescent="0.25">
      <c r="B63" s="165" t="s">
        <v>131</v>
      </c>
      <c r="C63" s="166">
        <v>0</v>
      </c>
      <c r="D63" s="166">
        <v>21</v>
      </c>
      <c r="E63" s="166">
        <v>45</v>
      </c>
      <c r="F63" s="166">
        <v>44</v>
      </c>
      <c r="G63" s="166">
        <v>34</v>
      </c>
      <c r="H63" s="166">
        <v>17</v>
      </c>
      <c r="I63" s="167">
        <f t="shared" si="7"/>
        <v>-0.5</v>
      </c>
      <c r="J63" s="167">
        <f>H63/H53</f>
        <v>4.8515981735159815E-3</v>
      </c>
    </row>
    <row r="64" spans="2:10" x14ac:dyDescent="0.25">
      <c r="B64" s="165" t="s">
        <v>134</v>
      </c>
      <c r="C64" s="166">
        <v>6</v>
      </c>
      <c r="D64" s="166">
        <v>22</v>
      </c>
      <c r="E64" s="166">
        <v>33</v>
      </c>
      <c r="F64" s="166">
        <v>27</v>
      </c>
      <c r="G64" s="166">
        <v>45</v>
      </c>
      <c r="H64" s="166">
        <v>20</v>
      </c>
      <c r="I64" s="167">
        <f t="shared" si="7"/>
        <v>-0.55555555555555558</v>
      </c>
      <c r="J64" s="167">
        <f>H64/H53</f>
        <v>5.7077625570776253E-3</v>
      </c>
    </row>
    <row r="65" spans="2:10" x14ac:dyDescent="0.25">
      <c r="B65" s="170" t="s">
        <v>148</v>
      </c>
      <c r="C65" s="171">
        <f t="shared" ref="C65:H65" si="8">C57-SUM(C58:C64)</f>
        <v>97</v>
      </c>
      <c r="D65" s="171">
        <f t="shared" si="8"/>
        <v>584</v>
      </c>
      <c r="E65" s="171">
        <f t="shared" si="8"/>
        <v>1192</v>
      </c>
      <c r="F65" s="171">
        <f t="shared" si="8"/>
        <v>1213</v>
      </c>
      <c r="G65" s="171">
        <f t="shared" si="8"/>
        <v>1330</v>
      </c>
      <c r="H65" s="171">
        <f t="shared" si="8"/>
        <v>837</v>
      </c>
      <c r="I65" s="172">
        <f t="shared" si="7"/>
        <v>-0.37067669172932327</v>
      </c>
      <c r="J65" s="172">
        <f>H65/H53</f>
        <v>0.23886986301369864</v>
      </c>
    </row>
    <row r="66" spans="2:10" x14ac:dyDescent="0.25">
      <c r="B66" s="157" t="s">
        <v>50</v>
      </c>
      <c r="C66" s="176"/>
      <c r="D66" s="176"/>
      <c r="E66" s="176"/>
      <c r="F66" s="176"/>
      <c r="G66" s="176"/>
      <c r="H66" s="176"/>
      <c r="I66" s="177"/>
      <c r="J66" s="177"/>
    </row>
    <row r="67" spans="2:10" x14ac:dyDescent="0.25">
      <c r="B67" s="158" t="s">
        <v>71</v>
      </c>
      <c r="C67" s="178">
        <v>8154</v>
      </c>
      <c r="D67" s="178">
        <v>9493</v>
      </c>
      <c r="E67" s="178">
        <v>14121</v>
      </c>
      <c r="F67" s="178">
        <v>12492</v>
      </c>
      <c r="G67" s="178">
        <v>15575</v>
      </c>
      <c r="H67" s="178">
        <v>15082</v>
      </c>
      <c r="I67" s="179">
        <f t="shared" ref="I67:I79" si="9">IFERROR(H67/G67-1,"-")</f>
        <v>-3.1653290529695011E-2</v>
      </c>
      <c r="J67" s="179">
        <f>H67/H67</f>
        <v>1</v>
      </c>
    </row>
    <row r="68" spans="2:10" x14ac:dyDescent="0.25">
      <c r="B68" s="161" t="s">
        <v>100</v>
      </c>
      <c r="C68" s="162">
        <v>661</v>
      </c>
      <c r="D68" s="162">
        <v>869</v>
      </c>
      <c r="E68" s="162">
        <v>877</v>
      </c>
      <c r="F68" s="162">
        <v>3664</v>
      </c>
      <c r="G68" s="162">
        <v>4017</v>
      </c>
      <c r="H68" s="162">
        <v>2993</v>
      </c>
      <c r="I68" s="163">
        <f t="shared" si="9"/>
        <v>-0.25491660443116759</v>
      </c>
      <c r="J68" s="163">
        <f>H68/H67</f>
        <v>0.19844848163373557</v>
      </c>
    </row>
    <row r="69" spans="2:10" x14ac:dyDescent="0.25">
      <c r="B69" s="165" t="s">
        <v>106</v>
      </c>
      <c r="C69" s="166">
        <v>342</v>
      </c>
      <c r="D69" s="166">
        <v>186</v>
      </c>
      <c r="E69" s="166">
        <v>126</v>
      </c>
      <c r="F69" s="166">
        <v>1747</v>
      </c>
      <c r="G69" s="166">
        <v>1469</v>
      </c>
      <c r="H69" s="166">
        <v>1263</v>
      </c>
      <c r="I69" s="167">
        <f t="shared" si="9"/>
        <v>-0.14023144996596326</v>
      </c>
      <c r="J69" s="167">
        <f>H69/H67</f>
        <v>8.3742209256066832E-2</v>
      </c>
    </row>
    <row r="70" spans="2:10" x14ac:dyDescent="0.25">
      <c r="B70" s="165" t="s">
        <v>103</v>
      </c>
      <c r="C70" s="166">
        <v>319</v>
      </c>
      <c r="D70" s="166">
        <v>683</v>
      </c>
      <c r="E70" s="166">
        <v>751</v>
      </c>
      <c r="F70" s="166">
        <v>1917</v>
      </c>
      <c r="G70" s="166">
        <v>2548</v>
      </c>
      <c r="H70" s="166">
        <v>1730</v>
      </c>
      <c r="I70" s="167">
        <f t="shared" si="9"/>
        <v>-0.32103610675039251</v>
      </c>
      <c r="J70" s="167">
        <f>H70/H67</f>
        <v>0.11470627237766874</v>
      </c>
    </row>
    <row r="71" spans="2:10" x14ac:dyDescent="0.25">
      <c r="B71" s="161" t="s">
        <v>110</v>
      </c>
      <c r="C71" s="162">
        <v>7493</v>
      </c>
      <c r="D71" s="162">
        <v>8624</v>
      </c>
      <c r="E71" s="162">
        <v>13244</v>
      </c>
      <c r="F71" s="162">
        <v>8828</v>
      </c>
      <c r="G71" s="162">
        <v>11558</v>
      </c>
      <c r="H71" s="162">
        <v>12089</v>
      </c>
      <c r="I71" s="163">
        <f t="shared" si="9"/>
        <v>4.5942204533656383E-2</v>
      </c>
      <c r="J71" s="163">
        <f>H71/H67</f>
        <v>0.80155151836626437</v>
      </c>
    </row>
    <row r="72" spans="2:10" x14ac:dyDescent="0.25">
      <c r="B72" s="165" t="s">
        <v>113</v>
      </c>
      <c r="C72" s="166">
        <v>4868</v>
      </c>
      <c r="D72" s="166">
        <v>1656</v>
      </c>
      <c r="E72" s="166">
        <v>4592</v>
      </c>
      <c r="F72" s="166">
        <v>4102</v>
      </c>
      <c r="G72" s="166">
        <v>4736</v>
      </c>
      <c r="H72" s="166">
        <v>5330</v>
      </c>
      <c r="I72" s="167">
        <f t="shared" si="9"/>
        <v>0.12542229729729737</v>
      </c>
      <c r="J72" s="167">
        <f>H72/H67</f>
        <v>0.35340140564911815</v>
      </c>
    </row>
    <row r="73" spans="2:10" x14ac:dyDescent="0.25">
      <c r="B73" s="165" t="s">
        <v>116</v>
      </c>
      <c r="C73" s="166">
        <v>411</v>
      </c>
      <c r="D73" s="166">
        <v>363</v>
      </c>
      <c r="E73" s="166">
        <v>510</v>
      </c>
      <c r="F73" s="166">
        <v>1159</v>
      </c>
      <c r="G73" s="166">
        <v>1085</v>
      </c>
      <c r="H73" s="166">
        <v>844</v>
      </c>
      <c r="I73" s="167">
        <f t="shared" si="9"/>
        <v>-0.22211981566820271</v>
      </c>
      <c r="J73" s="167">
        <f>H73/H67</f>
        <v>5.5960747911417585E-2</v>
      </c>
    </row>
    <row r="74" spans="2:10" x14ac:dyDescent="0.25">
      <c r="B74" s="165" t="s">
        <v>119</v>
      </c>
      <c r="C74" s="166">
        <v>523</v>
      </c>
      <c r="D74" s="166">
        <v>1078</v>
      </c>
      <c r="E74" s="166">
        <v>1972</v>
      </c>
      <c r="F74" s="166">
        <v>521</v>
      </c>
      <c r="G74" s="166">
        <v>700</v>
      </c>
      <c r="H74" s="166">
        <v>661</v>
      </c>
      <c r="I74" s="167">
        <f t="shared" si="9"/>
        <v>-5.5714285714285716E-2</v>
      </c>
      <c r="J74" s="167">
        <f>H74/H67</f>
        <v>4.3827078636785574E-2</v>
      </c>
    </row>
    <row r="75" spans="2:10" x14ac:dyDescent="0.25">
      <c r="B75" s="165" t="s">
        <v>126</v>
      </c>
      <c r="C75" s="166">
        <v>163</v>
      </c>
      <c r="D75" s="166">
        <v>1017</v>
      </c>
      <c r="E75" s="166">
        <v>312</v>
      </c>
      <c r="F75" s="166">
        <v>286</v>
      </c>
      <c r="G75" s="166">
        <v>429</v>
      </c>
      <c r="H75" s="166">
        <v>431</v>
      </c>
      <c r="I75" s="167">
        <f t="shared" si="9"/>
        <v>4.6620046620047262E-3</v>
      </c>
      <c r="J75" s="167">
        <f>H75/H67</f>
        <v>2.8577111788887416E-2</v>
      </c>
    </row>
    <row r="76" spans="2:10" x14ac:dyDescent="0.25">
      <c r="B76" s="165" t="s">
        <v>122</v>
      </c>
      <c r="C76" s="166">
        <v>267</v>
      </c>
      <c r="D76" s="166">
        <v>275</v>
      </c>
      <c r="E76" s="166">
        <v>224</v>
      </c>
      <c r="F76" s="166">
        <v>99</v>
      </c>
      <c r="G76" s="166">
        <v>295</v>
      </c>
      <c r="H76" s="166">
        <v>388</v>
      </c>
      <c r="I76" s="167">
        <f t="shared" si="9"/>
        <v>0.31525423728813551</v>
      </c>
      <c r="J76" s="167">
        <f>H76/H67</f>
        <v>2.5726031030367327E-2</v>
      </c>
    </row>
    <row r="77" spans="2:10" x14ac:dyDescent="0.25">
      <c r="B77" s="165" t="s">
        <v>131</v>
      </c>
      <c r="C77" s="166">
        <v>13</v>
      </c>
      <c r="D77" s="166">
        <v>583</v>
      </c>
      <c r="E77" s="166">
        <v>747</v>
      </c>
      <c r="F77" s="166">
        <v>127</v>
      </c>
      <c r="G77" s="166">
        <v>349</v>
      </c>
      <c r="H77" s="166">
        <v>256</v>
      </c>
      <c r="I77" s="167">
        <f t="shared" si="9"/>
        <v>-0.26647564469914042</v>
      </c>
      <c r="J77" s="167">
        <f>H77/H67</f>
        <v>1.6973876143747513E-2</v>
      </c>
    </row>
    <row r="78" spans="2:10" x14ac:dyDescent="0.25">
      <c r="B78" s="165" t="s">
        <v>134</v>
      </c>
      <c r="C78" s="166">
        <v>29</v>
      </c>
      <c r="D78" s="166">
        <v>159</v>
      </c>
      <c r="E78" s="166">
        <v>263</v>
      </c>
      <c r="F78" s="166">
        <v>48</v>
      </c>
      <c r="G78" s="166">
        <v>776</v>
      </c>
      <c r="H78" s="166">
        <v>526</v>
      </c>
      <c r="I78" s="167">
        <f t="shared" si="9"/>
        <v>-0.32216494845360821</v>
      </c>
      <c r="J78" s="167">
        <f>H78/H67</f>
        <v>3.4876011139106218E-2</v>
      </c>
    </row>
    <row r="79" spans="2:10" x14ac:dyDescent="0.25">
      <c r="B79" s="170" t="s">
        <v>148</v>
      </c>
      <c r="C79" s="171">
        <f t="shared" ref="C79:H79" si="10">C71-SUM(C72:C78)</f>
        <v>1219</v>
      </c>
      <c r="D79" s="171">
        <f t="shared" si="10"/>
        <v>3493</v>
      </c>
      <c r="E79" s="171">
        <f t="shared" si="10"/>
        <v>4624</v>
      </c>
      <c r="F79" s="171">
        <f t="shared" si="10"/>
        <v>2486</v>
      </c>
      <c r="G79" s="171">
        <f t="shared" si="10"/>
        <v>3188</v>
      </c>
      <c r="H79" s="171">
        <f t="shared" si="10"/>
        <v>3653</v>
      </c>
      <c r="I79" s="172">
        <f t="shared" si="9"/>
        <v>0.14585947302383939</v>
      </c>
      <c r="J79" s="172">
        <f>H79/H67</f>
        <v>0.24220925606683463</v>
      </c>
    </row>
    <row r="80" spans="2:10" x14ac:dyDescent="0.25">
      <c r="B80" s="157" t="s">
        <v>51</v>
      </c>
      <c r="C80" s="176"/>
      <c r="D80" s="176"/>
      <c r="E80" s="176"/>
      <c r="F80" s="176"/>
      <c r="G80" s="176"/>
      <c r="H80" s="176"/>
      <c r="I80" s="177"/>
      <c r="J80" s="177"/>
    </row>
    <row r="81" spans="2:10" x14ac:dyDescent="0.25">
      <c r="B81" s="158" t="s">
        <v>71</v>
      </c>
      <c r="C81" s="178">
        <v>8912</v>
      </c>
      <c r="D81" s="178">
        <v>44151</v>
      </c>
      <c r="E81" s="178">
        <v>61100</v>
      </c>
      <c r="F81" s="178">
        <v>62539</v>
      </c>
      <c r="G81" s="178">
        <v>67921</v>
      </c>
      <c r="H81" s="178">
        <v>70034</v>
      </c>
      <c r="I81" s="179">
        <f t="shared" ref="I81:I93" si="11">IFERROR(H81/G81-1,"-")</f>
        <v>3.1109671530159977E-2</v>
      </c>
      <c r="J81" s="179">
        <f>H81/H81</f>
        <v>1</v>
      </c>
    </row>
    <row r="82" spans="2:10" x14ac:dyDescent="0.25">
      <c r="B82" s="161" t="s">
        <v>100</v>
      </c>
      <c r="C82" s="162">
        <v>4935</v>
      </c>
      <c r="D82" s="162">
        <v>16320</v>
      </c>
      <c r="E82" s="162">
        <v>22605</v>
      </c>
      <c r="F82" s="162">
        <v>19245</v>
      </c>
      <c r="G82" s="162">
        <v>20445</v>
      </c>
      <c r="H82" s="162">
        <v>23233</v>
      </c>
      <c r="I82" s="163">
        <f t="shared" si="11"/>
        <v>0.13636585962337988</v>
      </c>
      <c r="J82" s="163">
        <f>H82/H81</f>
        <v>0.33173886969186395</v>
      </c>
    </row>
    <row r="83" spans="2:10" x14ac:dyDescent="0.25">
      <c r="B83" s="165" t="s">
        <v>106</v>
      </c>
      <c r="C83" s="166">
        <v>2977</v>
      </c>
      <c r="D83" s="166">
        <v>6387</v>
      </c>
      <c r="E83" s="166">
        <v>5749</v>
      </c>
      <c r="F83" s="166">
        <v>4919</v>
      </c>
      <c r="G83" s="166">
        <v>5389</v>
      </c>
      <c r="H83" s="166">
        <v>7065</v>
      </c>
      <c r="I83" s="167">
        <f t="shared" si="11"/>
        <v>0.31100389682686957</v>
      </c>
      <c r="J83" s="167">
        <f>H83/H81</f>
        <v>0.10087957277893594</v>
      </c>
    </row>
    <row r="84" spans="2:10" x14ac:dyDescent="0.25">
      <c r="B84" s="165" t="s">
        <v>103</v>
      </c>
      <c r="C84" s="166">
        <v>1958</v>
      </c>
      <c r="D84" s="166">
        <v>9933</v>
      </c>
      <c r="E84" s="166">
        <v>16856</v>
      </c>
      <c r="F84" s="166">
        <v>14326</v>
      </c>
      <c r="G84" s="166">
        <v>15056</v>
      </c>
      <c r="H84" s="166">
        <v>16168</v>
      </c>
      <c r="I84" s="167">
        <f t="shared" si="11"/>
        <v>7.3857598299681193E-2</v>
      </c>
      <c r="J84" s="167">
        <f>H84/H81</f>
        <v>0.230859296912928</v>
      </c>
    </row>
    <row r="85" spans="2:10" x14ac:dyDescent="0.25">
      <c r="B85" s="161" t="s">
        <v>110</v>
      </c>
      <c r="C85" s="162">
        <v>3977</v>
      </c>
      <c r="D85" s="162">
        <v>27831</v>
      </c>
      <c r="E85" s="162">
        <v>38495</v>
      </c>
      <c r="F85" s="162">
        <v>43294</v>
      </c>
      <c r="G85" s="162">
        <v>47476</v>
      </c>
      <c r="H85" s="162">
        <v>46801</v>
      </c>
      <c r="I85" s="163">
        <f t="shared" si="11"/>
        <v>-1.4217710000842487E-2</v>
      </c>
      <c r="J85" s="163">
        <f>H85/H81</f>
        <v>0.66826113030813605</v>
      </c>
    </row>
    <row r="86" spans="2:10" x14ac:dyDescent="0.25">
      <c r="B86" s="165" t="s">
        <v>113</v>
      </c>
      <c r="C86" s="166">
        <v>669</v>
      </c>
      <c r="D86" s="166">
        <v>2620</v>
      </c>
      <c r="E86" s="166">
        <v>6692</v>
      </c>
      <c r="F86" s="166">
        <v>8301</v>
      </c>
      <c r="G86" s="166">
        <v>8925</v>
      </c>
      <c r="H86" s="166">
        <v>8629</v>
      </c>
      <c r="I86" s="167">
        <f t="shared" si="11"/>
        <v>-3.3165266106442548E-2</v>
      </c>
      <c r="J86" s="167">
        <f>H86/H81</f>
        <v>0.1232115829454265</v>
      </c>
    </row>
    <row r="87" spans="2:10" x14ac:dyDescent="0.25">
      <c r="B87" s="165" t="s">
        <v>116</v>
      </c>
      <c r="C87" s="166">
        <v>1122</v>
      </c>
      <c r="D87" s="166">
        <v>10163</v>
      </c>
      <c r="E87" s="166">
        <v>12505</v>
      </c>
      <c r="F87" s="166">
        <v>12656</v>
      </c>
      <c r="G87" s="166">
        <v>13943</v>
      </c>
      <c r="H87" s="166">
        <v>13476</v>
      </c>
      <c r="I87" s="167">
        <f t="shared" si="11"/>
        <v>-3.3493509287814693E-2</v>
      </c>
      <c r="J87" s="167">
        <f>H87/H81</f>
        <v>0.19242082417111689</v>
      </c>
    </row>
    <row r="88" spans="2:10" x14ac:dyDescent="0.25">
      <c r="B88" s="165" t="s">
        <v>119</v>
      </c>
      <c r="C88" s="166">
        <v>484</v>
      </c>
      <c r="D88" s="166">
        <v>2093</v>
      </c>
      <c r="E88" s="166">
        <v>2795</v>
      </c>
      <c r="F88" s="166">
        <v>3613</v>
      </c>
      <c r="G88" s="166">
        <v>3854</v>
      </c>
      <c r="H88" s="166">
        <v>3666</v>
      </c>
      <c r="I88" s="167">
        <f t="shared" si="11"/>
        <v>-4.8780487804878092E-2</v>
      </c>
      <c r="J88" s="167">
        <f>H88/H81</f>
        <v>5.2346003369791817E-2</v>
      </c>
    </row>
    <row r="89" spans="2:10" x14ac:dyDescent="0.25">
      <c r="B89" s="165" t="s">
        <v>126</v>
      </c>
      <c r="C89" s="166">
        <v>69</v>
      </c>
      <c r="D89" s="166">
        <v>1099</v>
      </c>
      <c r="E89" s="166">
        <v>923</v>
      </c>
      <c r="F89" s="166">
        <v>1375</v>
      </c>
      <c r="G89" s="166">
        <v>1725</v>
      </c>
      <c r="H89" s="166">
        <v>1238</v>
      </c>
      <c r="I89" s="167">
        <f t="shared" si="11"/>
        <v>-0.28231884057971013</v>
      </c>
      <c r="J89" s="167">
        <f>H89/H81</f>
        <v>1.7677128251991889E-2</v>
      </c>
    </row>
    <row r="90" spans="2:10" x14ac:dyDescent="0.25">
      <c r="B90" s="165" t="s">
        <v>122</v>
      </c>
      <c r="C90" s="166">
        <v>101</v>
      </c>
      <c r="D90" s="166">
        <v>687</v>
      </c>
      <c r="E90" s="166">
        <v>675</v>
      </c>
      <c r="F90" s="166">
        <v>613</v>
      </c>
      <c r="G90" s="166">
        <v>830</v>
      </c>
      <c r="H90" s="166">
        <v>937</v>
      </c>
      <c r="I90" s="167">
        <f t="shared" si="11"/>
        <v>0.1289156626506025</v>
      </c>
      <c r="J90" s="167">
        <f>H90/H81</f>
        <v>1.3379215809463975E-2</v>
      </c>
    </row>
    <row r="91" spans="2:10" x14ac:dyDescent="0.25">
      <c r="B91" s="165" t="s">
        <v>131</v>
      </c>
      <c r="C91" s="166">
        <v>12</v>
      </c>
      <c r="D91" s="166">
        <v>598</v>
      </c>
      <c r="E91" s="166">
        <v>1009</v>
      </c>
      <c r="F91" s="166">
        <v>1012</v>
      </c>
      <c r="G91" s="166">
        <v>805</v>
      </c>
      <c r="H91" s="166">
        <v>847</v>
      </c>
      <c r="I91" s="167">
        <f t="shared" si="11"/>
        <v>5.2173913043478182E-2</v>
      </c>
      <c r="J91" s="167">
        <f>H91/H81</f>
        <v>1.2094125710369249E-2</v>
      </c>
    </row>
    <row r="92" spans="2:10" x14ac:dyDescent="0.25">
      <c r="B92" s="165" t="s">
        <v>134</v>
      </c>
      <c r="C92" s="166">
        <v>54</v>
      </c>
      <c r="D92" s="166">
        <v>933</v>
      </c>
      <c r="E92" s="166">
        <v>1630</v>
      </c>
      <c r="F92" s="166">
        <v>1749</v>
      </c>
      <c r="G92" s="166">
        <v>1482</v>
      </c>
      <c r="H92" s="166">
        <v>1268</v>
      </c>
      <c r="I92" s="167">
        <f t="shared" si="11"/>
        <v>-0.1443994601889339</v>
      </c>
      <c r="J92" s="167">
        <f>H92/H81</f>
        <v>1.8105491618356798E-2</v>
      </c>
    </row>
    <row r="93" spans="2:10" x14ac:dyDescent="0.25">
      <c r="B93" s="170" t="s">
        <v>148</v>
      </c>
      <c r="C93" s="171">
        <f t="shared" ref="C93:H93" si="12">C85-SUM(C86:C92)</f>
        <v>1466</v>
      </c>
      <c r="D93" s="171">
        <f t="shared" si="12"/>
        <v>9638</v>
      </c>
      <c r="E93" s="171">
        <f t="shared" si="12"/>
        <v>12266</v>
      </c>
      <c r="F93" s="171">
        <f t="shared" si="12"/>
        <v>13975</v>
      </c>
      <c r="G93" s="171">
        <f t="shared" si="12"/>
        <v>15912</v>
      </c>
      <c r="H93" s="171">
        <f t="shared" si="12"/>
        <v>16740</v>
      </c>
      <c r="I93" s="172">
        <f t="shared" si="11"/>
        <v>5.2036199095022662E-2</v>
      </c>
      <c r="J93" s="172">
        <f>H93/H81</f>
        <v>0.23902675843161894</v>
      </c>
    </row>
    <row r="94" spans="2:10" x14ac:dyDescent="0.25">
      <c r="B94" s="157" t="s">
        <v>52</v>
      </c>
      <c r="C94" s="176"/>
      <c r="D94" s="176"/>
      <c r="E94" s="176"/>
      <c r="F94" s="176"/>
      <c r="G94" s="176"/>
      <c r="H94" s="176"/>
      <c r="I94" s="177"/>
      <c r="J94" s="177"/>
    </row>
    <row r="95" spans="2:10" x14ac:dyDescent="0.25">
      <c r="B95" s="158" t="s">
        <v>71</v>
      </c>
      <c r="C95" s="178">
        <v>1794</v>
      </c>
      <c r="D95" s="178">
        <v>4543</v>
      </c>
      <c r="E95" s="178">
        <v>5166</v>
      </c>
      <c r="F95" s="178">
        <v>4585</v>
      </c>
      <c r="G95" s="178">
        <v>5228</v>
      </c>
      <c r="H95" s="178">
        <v>5221</v>
      </c>
      <c r="I95" s="179">
        <f t="shared" ref="I95:I107" si="13">IFERROR(H95/G95-1,"-")</f>
        <v>-1.3389441469012775E-3</v>
      </c>
      <c r="J95" s="179">
        <f>H95/H95</f>
        <v>1</v>
      </c>
    </row>
    <row r="96" spans="2:10" x14ac:dyDescent="0.25">
      <c r="B96" s="161" t="s">
        <v>100</v>
      </c>
      <c r="C96" s="162">
        <v>1139</v>
      </c>
      <c r="D96" s="162">
        <v>2953</v>
      </c>
      <c r="E96" s="162">
        <v>3359</v>
      </c>
      <c r="F96" s="162">
        <v>2582</v>
      </c>
      <c r="G96" s="162">
        <v>3222</v>
      </c>
      <c r="H96" s="162">
        <v>3297</v>
      </c>
      <c r="I96" s="163">
        <f t="shared" si="13"/>
        <v>2.3277467411545683E-2</v>
      </c>
      <c r="J96" s="163">
        <f>H96/H95</f>
        <v>0.63148822064738552</v>
      </c>
    </row>
    <row r="97" spans="2:10" x14ac:dyDescent="0.25">
      <c r="B97" s="165" t="s">
        <v>106</v>
      </c>
      <c r="C97" s="166">
        <v>768</v>
      </c>
      <c r="D97" s="166">
        <v>1476</v>
      </c>
      <c r="E97" s="166">
        <v>1814</v>
      </c>
      <c r="F97" s="166">
        <v>1157</v>
      </c>
      <c r="G97" s="166">
        <v>1470</v>
      </c>
      <c r="H97" s="166">
        <v>1785</v>
      </c>
      <c r="I97" s="167">
        <f t="shared" si="13"/>
        <v>0.21428571428571419</v>
      </c>
      <c r="J97" s="167">
        <f>H97/H95</f>
        <v>0.34188852710208772</v>
      </c>
    </row>
    <row r="98" spans="2:10" x14ac:dyDescent="0.25">
      <c r="B98" s="165" t="s">
        <v>103</v>
      </c>
      <c r="C98" s="166">
        <v>371</v>
      </c>
      <c r="D98" s="166">
        <v>1477</v>
      </c>
      <c r="E98" s="166">
        <v>1545</v>
      </c>
      <c r="F98" s="166">
        <v>1425</v>
      </c>
      <c r="G98" s="166">
        <v>1752</v>
      </c>
      <c r="H98" s="166">
        <v>1512</v>
      </c>
      <c r="I98" s="167">
        <f t="shared" si="13"/>
        <v>-0.13698630136986301</v>
      </c>
      <c r="J98" s="167">
        <f>H98/H95</f>
        <v>0.28959969354529785</v>
      </c>
    </row>
    <row r="99" spans="2:10" x14ac:dyDescent="0.25">
      <c r="B99" s="161" t="s">
        <v>110</v>
      </c>
      <c r="C99" s="162">
        <v>655</v>
      </c>
      <c r="D99" s="162">
        <v>1590</v>
      </c>
      <c r="E99" s="162">
        <v>1807</v>
      </c>
      <c r="F99" s="162">
        <v>2003</v>
      </c>
      <c r="G99" s="162">
        <v>2006</v>
      </c>
      <c r="H99" s="162">
        <v>1924</v>
      </c>
      <c r="I99" s="163">
        <f t="shared" si="13"/>
        <v>-4.0877367896311023E-2</v>
      </c>
      <c r="J99" s="163">
        <f>H99/H95</f>
        <v>0.36851177935261442</v>
      </c>
    </row>
    <row r="100" spans="2:10" x14ac:dyDescent="0.25">
      <c r="B100" s="165" t="s">
        <v>113</v>
      </c>
      <c r="C100" s="166">
        <v>74</v>
      </c>
      <c r="D100" s="166">
        <v>171</v>
      </c>
      <c r="E100" s="166">
        <v>303</v>
      </c>
      <c r="F100" s="166">
        <v>319</v>
      </c>
      <c r="G100" s="166">
        <v>260</v>
      </c>
      <c r="H100" s="166">
        <v>259</v>
      </c>
      <c r="I100" s="167">
        <f t="shared" si="13"/>
        <v>-3.8461538461538325E-3</v>
      </c>
      <c r="J100" s="167">
        <f>H100/H95</f>
        <v>4.9607354912851946E-2</v>
      </c>
    </row>
    <row r="101" spans="2:10" x14ac:dyDescent="0.25">
      <c r="B101" s="165" t="s">
        <v>116</v>
      </c>
      <c r="C101" s="166">
        <v>87</v>
      </c>
      <c r="D101" s="166">
        <v>348</v>
      </c>
      <c r="E101" s="166">
        <v>361</v>
      </c>
      <c r="F101" s="166">
        <v>422</v>
      </c>
      <c r="G101" s="166">
        <v>460</v>
      </c>
      <c r="H101" s="166">
        <v>386</v>
      </c>
      <c r="I101" s="167">
        <f t="shared" si="13"/>
        <v>-0.16086956521739126</v>
      </c>
      <c r="J101" s="167">
        <f>H101/H95</f>
        <v>7.3932196897146141E-2</v>
      </c>
    </row>
    <row r="102" spans="2:10" x14ac:dyDescent="0.25">
      <c r="B102" s="165" t="s">
        <v>119</v>
      </c>
      <c r="C102" s="166">
        <v>202</v>
      </c>
      <c r="D102" s="166">
        <v>364</v>
      </c>
      <c r="E102" s="166">
        <v>357</v>
      </c>
      <c r="F102" s="166">
        <v>304</v>
      </c>
      <c r="G102" s="166">
        <v>280</v>
      </c>
      <c r="H102" s="166">
        <v>343</v>
      </c>
      <c r="I102" s="167">
        <f t="shared" si="13"/>
        <v>0.22500000000000009</v>
      </c>
      <c r="J102" s="167">
        <f>H102/H95</f>
        <v>6.5696226776479599E-2</v>
      </c>
    </row>
    <row r="103" spans="2:10" x14ac:dyDescent="0.25">
      <c r="B103" s="165" t="s">
        <v>126</v>
      </c>
      <c r="C103" s="166">
        <v>14</v>
      </c>
      <c r="D103" s="166">
        <v>107</v>
      </c>
      <c r="E103" s="166">
        <v>121</v>
      </c>
      <c r="F103" s="166">
        <v>113</v>
      </c>
      <c r="G103" s="166">
        <v>75</v>
      </c>
      <c r="H103" s="166">
        <v>74</v>
      </c>
      <c r="I103" s="167">
        <f t="shared" si="13"/>
        <v>-1.3333333333333308E-2</v>
      </c>
      <c r="J103" s="167">
        <f>H103/H95</f>
        <v>1.4173529975100555E-2</v>
      </c>
    </row>
    <row r="104" spans="2:10" x14ac:dyDescent="0.25">
      <c r="B104" s="165" t="s">
        <v>122</v>
      </c>
      <c r="C104" s="166">
        <v>20</v>
      </c>
      <c r="D104" s="166">
        <v>69</v>
      </c>
      <c r="E104" s="166">
        <v>52</v>
      </c>
      <c r="F104" s="166">
        <v>79</v>
      </c>
      <c r="G104" s="166">
        <v>143</v>
      </c>
      <c r="H104" s="166">
        <v>95</v>
      </c>
      <c r="I104" s="167">
        <f t="shared" si="13"/>
        <v>-0.33566433566433562</v>
      </c>
      <c r="J104" s="167">
        <f>H104/H95</f>
        <v>1.8195747941007472E-2</v>
      </c>
    </row>
    <row r="105" spans="2:10" x14ac:dyDescent="0.25">
      <c r="B105" s="165" t="s">
        <v>131</v>
      </c>
      <c r="C105" s="166">
        <v>2</v>
      </c>
      <c r="D105" s="166">
        <v>32</v>
      </c>
      <c r="E105" s="166">
        <v>22</v>
      </c>
      <c r="F105" s="166">
        <v>17</v>
      </c>
      <c r="G105" s="166">
        <v>4</v>
      </c>
      <c r="H105" s="166">
        <v>10</v>
      </c>
      <c r="I105" s="167">
        <f t="shared" si="13"/>
        <v>1.5</v>
      </c>
      <c r="J105" s="167">
        <f>H105/H95</f>
        <v>1.915341888527102E-3</v>
      </c>
    </row>
    <row r="106" spans="2:10" x14ac:dyDescent="0.25">
      <c r="B106" s="165" t="s">
        <v>134</v>
      </c>
      <c r="C106" s="166">
        <v>5</v>
      </c>
      <c r="D106" s="166">
        <v>16</v>
      </c>
      <c r="E106" s="166">
        <v>35</v>
      </c>
      <c r="F106" s="166">
        <v>32</v>
      </c>
      <c r="G106" s="166">
        <v>42</v>
      </c>
      <c r="H106" s="166">
        <v>8</v>
      </c>
      <c r="I106" s="167">
        <f t="shared" si="13"/>
        <v>-0.80952380952380953</v>
      </c>
      <c r="J106" s="167">
        <f>H106/H95</f>
        <v>1.5322735108216816E-3</v>
      </c>
    </row>
    <row r="107" spans="2:10" x14ac:dyDescent="0.25">
      <c r="B107" s="170" t="s">
        <v>148</v>
      </c>
      <c r="C107" s="171">
        <f t="shared" ref="C107:H107" si="14">C99-SUM(C100:C106)</f>
        <v>251</v>
      </c>
      <c r="D107" s="171">
        <f t="shared" si="14"/>
        <v>483</v>
      </c>
      <c r="E107" s="171">
        <f t="shared" si="14"/>
        <v>556</v>
      </c>
      <c r="F107" s="171">
        <f t="shared" si="14"/>
        <v>717</v>
      </c>
      <c r="G107" s="171">
        <f t="shared" si="14"/>
        <v>742</v>
      </c>
      <c r="H107" s="171">
        <f t="shared" si="14"/>
        <v>749</v>
      </c>
      <c r="I107" s="172">
        <f t="shared" si="13"/>
        <v>9.4339622641510523E-3</v>
      </c>
      <c r="J107" s="172">
        <f>H107/H95</f>
        <v>0.14345910745067994</v>
      </c>
    </row>
    <row r="108" spans="2:10" x14ac:dyDescent="0.25">
      <c r="B108" s="157" t="s">
        <v>53</v>
      </c>
      <c r="C108" s="176"/>
      <c r="D108" s="176"/>
      <c r="E108" s="176"/>
      <c r="F108" s="176"/>
      <c r="G108" s="176"/>
      <c r="H108" s="176"/>
      <c r="I108" s="177"/>
      <c r="J108" s="177"/>
    </row>
    <row r="109" spans="2:10" x14ac:dyDescent="0.25">
      <c r="B109" s="158" t="s">
        <v>71</v>
      </c>
      <c r="C109" s="178">
        <v>6293</v>
      </c>
      <c r="D109" s="178">
        <v>13338</v>
      </c>
      <c r="E109" s="178">
        <v>17905</v>
      </c>
      <c r="F109" s="178">
        <v>20333</v>
      </c>
      <c r="G109" s="178">
        <v>18315</v>
      </c>
      <c r="H109" s="178">
        <v>21025</v>
      </c>
      <c r="I109" s="179">
        <f t="shared" ref="I109:I121" si="15">IFERROR(H109/G109-1,"-")</f>
        <v>0.14796614796614804</v>
      </c>
      <c r="J109" s="179">
        <f>H109/H109</f>
        <v>1</v>
      </c>
    </row>
    <row r="110" spans="2:10" x14ac:dyDescent="0.25">
      <c r="B110" s="161" t="s">
        <v>100</v>
      </c>
      <c r="C110" s="162">
        <v>2192</v>
      </c>
      <c r="D110" s="162">
        <v>3196</v>
      </c>
      <c r="E110" s="162">
        <v>2982</v>
      </c>
      <c r="F110" s="162">
        <v>3713</v>
      </c>
      <c r="G110" s="162">
        <v>2969</v>
      </c>
      <c r="H110" s="162">
        <v>2672</v>
      </c>
      <c r="I110" s="163">
        <f t="shared" si="15"/>
        <v>-0.1000336813742001</v>
      </c>
      <c r="J110" s="163">
        <f>H110/H109</f>
        <v>0.12708680142687276</v>
      </c>
    </row>
    <row r="111" spans="2:10" x14ac:dyDescent="0.25">
      <c r="B111" s="165" t="s">
        <v>106</v>
      </c>
      <c r="C111" s="166">
        <v>1314</v>
      </c>
      <c r="D111" s="166">
        <v>1313</v>
      </c>
      <c r="E111" s="166">
        <v>699</v>
      </c>
      <c r="F111" s="166">
        <v>668</v>
      </c>
      <c r="G111" s="166">
        <v>692</v>
      </c>
      <c r="H111" s="166">
        <v>1402</v>
      </c>
      <c r="I111" s="167">
        <f t="shared" si="15"/>
        <v>1.0260115606936417</v>
      </c>
      <c r="J111" s="167">
        <f>H111/H109</f>
        <v>6.6682520808561241E-2</v>
      </c>
    </row>
    <row r="112" spans="2:10" x14ac:dyDescent="0.25">
      <c r="B112" s="165" t="s">
        <v>103</v>
      </c>
      <c r="C112" s="166">
        <v>878</v>
      </c>
      <c r="D112" s="166">
        <v>1883</v>
      </c>
      <c r="E112" s="166">
        <v>2283</v>
      </c>
      <c r="F112" s="166">
        <v>3045</v>
      </c>
      <c r="G112" s="166">
        <v>2277</v>
      </c>
      <c r="H112" s="166">
        <v>1270</v>
      </c>
      <c r="I112" s="167">
        <f t="shared" si="15"/>
        <v>-0.44224857268335527</v>
      </c>
      <c r="J112" s="167">
        <f>H112/H109</f>
        <v>6.0404280618311532E-2</v>
      </c>
    </row>
    <row r="113" spans="2:10" x14ac:dyDescent="0.25">
      <c r="B113" s="161" t="s">
        <v>110</v>
      </c>
      <c r="C113" s="162">
        <v>4101</v>
      </c>
      <c r="D113" s="162">
        <v>10142</v>
      </c>
      <c r="E113" s="162">
        <v>14923</v>
      </c>
      <c r="F113" s="162">
        <v>16620</v>
      </c>
      <c r="G113" s="162">
        <v>15346</v>
      </c>
      <c r="H113" s="162">
        <v>18353</v>
      </c>
      <c r="I113" s="163">
        <f t="shared" si="15"/>
        <v>0.19594682653460183</v>
      </c>
      <c r="J113" s="163">
        <f>H113/H109</f>
        <v>0.87291319857312721</v>
      </c>
    </row>
    <row r="114" spans="2:10" x14ac:dyDescent="0.25">
      <c r="B114" s="165" t="s">
        <v>113</v>
      </c>
      <c r="C114" s="166">
        <v>3228</v>
      </c>
      <c r="D114" s="166">
        <v>4587</v>
      </c>
      <c r="E114" s="166">
        <v>9121</v>
      </c>
      <c r="F114" s="166">
        <v>9933</v>
      </c>
      <c r="G114" s="166">
        <v>9148</v>
      </c>
      <c r="H114" s="166">
        <v>8513</v>
      </c>
      <c r="I114" s="167">
        <f t="shared" si="15"/>
        <v>-6.9414079580236154E-2</v>
      </c>
      <c r="J114" s="167">
        <f>H114/H109</f>
        <v>0.40489892984542214</v>
      </c>
    </row>
    <row r="115" spans="2:10" x14ac:dyDescent="0.25">
      <c r="B115" s="165" t="s">
        <v>116</v>
      </c>
      <c r="C115" s="166">
        <v>304</v>
      </c>
      <c r="D115" s="166">
        <v>794</v>
      </c>
      <c r="E115" s="166">
        <v>835</v>
      </c>
      <c r="F115" s="166">
        <v>1075</v>
      </c>
      <c r="G115" s="166">
        <v>770</v>
      </c>
      <c r="H115" s="166">
        <v>1060</v>
      </c>
      <c r="I115" s="167">
        <f t="shared" si="15"/>
        <v>0.37662337662337664</v>
      </c>
      <c r="J115" s="167">
        <f>H115/H109</f>
        <v>5.0416171224732464E-2</v>
      </c>
    </row>
    <row r="116" spans="2:10" x14ac:dyDescent="0.25">
      <c r="B116" s="165" t="s">
        <v>119</v>
      </c>
      <c r="C116" s="166">
        <v>131</v>
      </c>
      <c r="D116" s="166">
        <v>731</v>
      </c>
      <c r="E116" s="166">
        <v>938</v>
      </c>
      <c r="F116" s="166">
        <v>864</v>
      </c>
      <c r="G116" s="166">
        <v>1025</v>
      </c>
      <c r="H116" s="166">
        <v>1180</v>
      </c>
      <c r="I116" s="167">
        <f t="shared" si="15"/>
        <v>0.15121951219512186</v>
      </c>
      <c r="J116" s="167">
        <f>H116/H109</f>
        <v>5.6123662306777643E-2</v>
      </c>
    </row>
    <row r="117" spans="2:10" x14ac:dyDescent="0.25">
      <c r="B117" s="165" t="s">
        <v>126</v>
      </c>
      <c r="C117" s="166">
        <v>41</v>
      </c>
      <c r="D117" s="166">
        <v>573</v>
      </c>
      <c r="E117" s="166">
        <v>547</v>
      </c>
      <c r="F117" s="166">
        <v>669</v>
      </c>
      <c r="G117" s="166">
        <v>541</v>
      </c>
      <c r="H117" s="166">
        <v>476</v>
      </c>
      <c r="I117" s="167">
        <f t="shared" si="15"/>
        <v>-0.12014787430683915</v>
      </c>
      <c r="J117" s="167">
        <f>H117/H109</f>
        <v>2.2639714625445898E-2</v>
      </c>
    </row>
    <row r="118" spans="2:10" x14ac:dyDescent="0.25">
      <c r="B118" s="165" t="s">
        <v>122</v>
      </c>
      <c r="C118" s="166">
        <v>71</v>
      </c>
      <c r="D118" s="166">
        <v>617</v>
      </c>
      <c r="E118" s="166">
        <v>355</v>
      </c>
      <c r="F118" s="166">
        <v>459</v>
      </c>
      <c r="G118" s="166">
        <v>381</v>
      </c>
      <c r="H118" s="166">
        <v>361</v>
      </c>
      <c r="I118" s="167">
        <f t="shared" si="15"/>
        <v>-5.2493438320210029E-2</v>
      </c>
      <c r="J118" s="167">
        <f>H118/H109</f>
        <v>1.7170035671819264E-2</v>
      </c>
    </row>
    <row r="119" spans="2:10" x14ac:dyDescent="0.25">
      <c r="B119" s="165" t="s">
        <v>131</v>
      </c>
      <c r="C119" s="166">
        <v>3</v>
      </c>
      <c r="D119" s="166">
        <v>123</v>
      </c>
      <c r="E119" s="166">
        <v>118</v>
      </c>
      <c r="F119" s="166">
        <v>176</v>
      </c>
      <c r="G119" s="166">
        <v>152</v>
      </c>
      <c r="H119" s="166">
        <v>153</v>
      </c>
      <c r="I119" s="167">
        <f t="shared" si="15"/>
        <v>6.5789473684210176E-3</v>
      </c>
      <c r="J119" s="167">
        <f>H119/H109</f>
        <v>7.2770511296076099E-3</v>
      </c>
    </row>
    <row r="120" spans="2:10" x14ac:dyDescent="0.25">
      <c r="B120" s="165" t="s">
        <v>134</v>
      </c>
      <c r="C120" s="166">
        <v>7</v>
      </c>
      <c r="D120" s="166">
        <v>170</v>
      </c>
      <c r="E120" s="166">
        <v>119</v>
      </c>
      <c r="F120" s="166">
        <v>219</v>
      </c>
      <c r="G120" s="166">
        <v>218</v>
      </c>
      <c r="H120" s="166">
        <v>150</v>
      </c>
      <c r="I120" s="167">
        <f t="shared" si="15"/>
        <v>-0.31192660550458717</v>
      </c>
      <c r="J120" s="167">
        <f>H120/H109</f>
        <v>7.1343638525564806E-3</v>
      </c>
    </row>
    <row r="121" spans="2:10" x14ac:dyDescent="0.25">
      <c r="B121" s="170" t="s">
        <v>148</v>
      </c>
      <c r="C121" s="171">
        <f t="shared" ref="C121:H121" si="16">C113-SUM(C114:C120)</f>
        <v>316</v>
      </c>
      <c r="D121" s="171">
        <f t="shared" si="16"/>
        <v>2547</v>
      </c>
      <c r="E121" s="171">
        <f t="shared" si="16"/>
        <v>2890</v>
      </c>
      <c r="F121" s="171">
        <f t="shared" si="16"/>
        <v>3225</v>
      </c>
      <c r="G121" s="171">
        <f t="shared" si="16"/>
        <v>3111</v>
      </c>
      <c r="H121" s="171">
        <f t="shared" si="16"/>
        <v>6460</v>
      </c>
      <c r="I121" s="172">
        <f t="shared" si="15"/>
        <v>1.0765027322404372</v>
      </c>
      <c r="J121" s="172">
        <f>H121/H109</f>
        <v>0.30725326991676577</v>
      </c>
    </row>
    <row r="122" spans="2:10" x14ac:dyDescent="0.25">
      <c r="B122" s="157" t="s">
        <v>54</v>
      </c>
      <c r="C122" s="176"/>
      <c r="D122" s="176"/>
      <c r="E122" s="176"/>
      <c r="F122" s="176"/>
      <c r="G122" s="176"/>
      <c r="H122" s="176"/>
      <c r="I122" s="177"/>
      <c r="J122" s="177"/>
    </row>
    <row r="123" spans="2:10" x14ac:dyDescent="0.25">
      <c r="B123" s="158" t="s">
        <v>71</v>
      </c>
      <c r="C123" s="178">
        <v>6962</v>
      </c>
      <c r="D123" s="178">
        <v>18198</v>
      </c>
      <c r="E123" s="178">
        <v>23965</v>
      </c>
      <c r="F123" s="178">
        <v>20577</v>
      </c>
      <c r="G123" s="178">
        <v>24629</v>
      </c>
      <c r="H123" s="178">
        <v>26233</v>
      </c>
      <c r="I123" s="179">
        <f t="shared" ref="I123:I135" si="17">IFERROR(H123/G123-1,"-")</f>
        <v>6.5126476917455101E-2</v>
      </c>
      <c r="J123" s="179">
        <f>H123/H123</f>
        <v>1</v>
      </c>
    </row>
    <row r="124" spans="2:10" x14ac:dyDescent="0.25">
      <c r="B124" s="161" t="s">
        <v>100</v>
      </c>
      <c r="C124" s="162">
        <v>4373</v>
      </c>
      <c r="D124" s="162">
        <v>9749</v>
      </c>
      <c r="E124" s="162">
        <v>10694</v>
      </c>
      <c r="F124" s="162">
        <v>10449</v>
      </c>
      <c r="G124" s="162">
        <v>13109</v>
      </c>
      <c r="H124" s="162">
        <v>13465</v>
      </c>
      <c r="I124" s="163">
        <f t="shared" si="17"/>
        <v>2.7156915096498535E-2</v>
      </c>
      <c r="J124" s="163">
        <f>H124/H123</f>
        <v>0.51328479396180382</v>
      </c>
    </row>
    <row r="125" spans="2:10" x14ac:dyDescent="0.25">
      <c r="B125" s="165" t="s">
        <v>106</v>
      </c>
      <c r="C125" s="166">
        <v>2222</v>
      </c>
      <c r="D125" s="166">
        <v>5338</v>
      </c>
      <c r="E125" s="166">
        <v>5738</v>
      </c>
      <c r="F125" s="166">
        <v>5217</v>
      </c>
      <c r="G125" s="166">
        <v>7182</v>
      </c>
      <c r="H125" s="166">
        <v>7480</v>
      </c>
      <c r="I125" s="167">
        <f t="shared" si="17"/>
        <v>4.1492620439988803E-2</v>
      </c>
      <c r="J125" s="167">
        <f>H125/H123</f>
        <v>0.28513704113139937</v>
      </c>
    </row>
    <row r="126" spans="2:10" x14ac:dyDescent="0.25">
      <c r="B126" s="165" t="s">
        <v>103</v>
      </c>
      <c r="C126" s="166">
        <v>2151</v>
      </c>
      <c r="D126" s="166">
        <v>4411</v>
      </c>
      <c r="E126" s="166">
        <v>4956</v>
      </c>
      <c r="F126" s="166">
        <v>5232</v>
      </c>
      <c r="G126" s="166">
        <v>5927</v>
      </c>
      <c r="H126" s="166">
        <v>5985</v>
      </c>
      <c r="I126" s="167">
        <f t="shared" si="17"/>
        <v>9.785726337101508E-3</v>
      </c>
      <c r="J126" s="167">
        <f>H126/H123</f>
        <v>0.22814775283040445</v>
      </c>
    </row>
    <row r="127" spans="2:10" x14ac:dyDescent="0.25">
      <c r="B127" s="161" t="s">
        <v>110</v>
      </c>
      <c r="C127" s="162">
        <v>2589</v>
      </c>
      <c r="D127" s="162">
        <v>8449</v>
      </c>
      <c r="E127" s="162">
        <v>13271</v>
      </c>
      <c r="F127" s="162">
        <v>10128</v>
      </c>
      <c r="G127" s="162">
        <v>11520</v>
      </c>
      <c r="H127" s="162">
        <v>12768</v>
      </c>
      <c r="I127" s="163">
        <f t="shared" si="17"/>
        <v>0.10833333333333339</v>
      </c>
      <c r="J127" s="163">
        <f>H127/H123</f>
        <v>0.48671520603819618</v>
      </c>
    </row>
    <row r="128" spans="2:10" x14ac:dyDescent="0.25">
      <c r="B128" s="165" t="s">
        <v>113</v>
      </c>
      <c r="C128" s="166">
        <v>245</v>
      </c>
      <c r="D128" s="166">
        <v>686</v>
      </c>
      <c r="E128" s="166">
        <v>1313</v>
      </c>
      <c r="F128" s="166">
        <v>1132</v>
      </c>
      <c r="G128" s="166">
        <v>1172</v>
      </c>
      <c r="H128" s="166">
        <v>1145</v>
      </c>
      <c r="I128" s="167">
        <f t="shared" si="17"/>
        <v>-2.3037542662115995E-2</v>
      </c>
      <c r="J128" s="167">
        <f>H128/H123</f>
        <v>4.3647314451263679E-2</v>
      </c>
    </row>
    <row r="129" spans="2:10" x14ac:dyDescent="0.25">
      <c r="B129" s="165" t="s">
        <v>116</v>
      </c>
      <c r="C129" s="166">
        <v>244</v>
      </c>
      <c r="D129" s="166">
        <v>1347</v>
      </c>
      <c r="E129" s="166">
        <v>2050</v>
      </c>
      <c r="F129" s="166">
        <v>1862</v>
      </c>
      <c r="G129" s="166">
        <v>1899</v>
      </c>
      <c r="H129" s="166">
        <v>2644</v>
      </c>
      <c r="I129" s="167">
        <f t="shared" si="17"/>
        <v>0.39231174302264349</v>
      </c>
      <c r="J129" s="167">
        <f>H129/H123</f>
        <v>0.10078908245339839</v>
      </c>
    </row>
    <row r="130" spans="2:10" x14ac:dyDescent="0.25">
      <c r="B130" s="165" t="s">
        <v>119</v>
      </c>
      <c r="C130" s="166">
        <v>244</v>
      </c>
      <c r="D130" s="166">
        <v>752</v>
      </c>
      <c r="E130" s="166">
        <v>1027</v>
      </c>
      <c r="F130" s="166">
        <v>725</v>
      </c>
      <c r="G130" s="166">
        <v>847</v>
      </c>
      <c r="H130" s="166">
        <v>965</v>
      </c>
      <c r="I130" s="167">
        <f t="shared" si="17"/>
        <v>0.13931523022432124</v>
      </c>
      <c r="J130" s="167">
        <f>H130/H123</f>
        <v>3.6785727899973315E-2</v>
      </c>
    </row>
    <row r="131" spans="2:10" x14ac:dyDescent="0.25">
      <c r="B131" s="165" t="s">
        <v>126</v>
      </c>
      <c r="C131" s="166">
        <v>43</v>
      </c>
      <c r="D131" s="166">
        <v>258</v>
      </c>
      <c r="E131" s="166">
        <v>294</v>
      </c>
      <c r="F131" s="166">
        <v>291</v>
      </c>
      <c r="G131" s="166">
        <v>247</v>
      </c>
      <c r="H131" s="166">
        <v>298</v>
      </c>
      <c r="I131" s="167">
        <f t="shared" si="17"/>
        <v>0.20647773279352233</v>
      </c>
      <c r="J131" s="167">
        <f>H131/H123</f>
        <v>1.1359737734914039E-2</v>
      </c>
    </row>
    <row r="132" spans="2:10" x14ac:dyDescent="0.25">
      <c r="B132" s="165" t="s">
        <v>122</v>
      </c>
      <c r="C132" s="166">
        <v>74</v>
      </c>
      <c r="D132" s="166">
        <v>199</v>
      </c>
      <c r="E132" s="166">
        <v>281</v>
      </c>
      <c r="F132" s="166">
        <v>228</v>
      </c>
      <c r="G132" s="166">
        <v>310</v>
      </c>
      <c r="H132" s="166">
        <v>300</v>
      </c>
      <c r="I132" s="167">
        <f t="shared" si="17"/>
        <v>-3.2258064516129004E-2</v>
      </c>
      <c r="J132" s="167">
        <f>H132/H123</f>
        <v>1.1435977585483932E-2</v>
      </c>
    </row>
    <row r="133" spans="2:10" x14ac:dyDescent="0.25">
      <c r="B133" s="165" t="s">
        <v>131</v>
      </c>
      <c r="C133" s="166">
        <v>8</v>
      </c>
      <c r="D133" s="166">
        <v>181</v>
      </c>
      <c r="E133" s="166">
        <v>164</v>
      </c>
      <c r="F133" s="166">
        <v>188</v>
      </c>
      <c r="G133" s="166">
        <v>158</v>
      </c>
      <c r="H133" s="166">
        <v>144</v>
      </c>
      <c r="I133" s="167">
        <f t="shared" si="17"/>
        <v>-8.8607594936708889E-2</v>
      </c>
      <c r="J133" s="167">
        <f>H133/H123</f>
        <v>5.4892692410322876E-3</v>
      </c>
    </row>
    <row r="134" spans="2:10" x14ac:dyDescent="0.25">
      <c r="B134" s="165" t="s">
        <v>134</v>
      </c>
      <c r="C134" s="166">
        <v>24</v>
      </c>
      <c r="D134" s="166">
        <v>324</v>
      </c>
      <c r="E134" s="166">
        <v>357</v>
      </c>
      <c r="F134" s="166">
        <v>357</v>
      </c>
      <c r="G134" s="166">
        <v>467</v>
      </c>
      <c r="H134" s="166">
        <v>375</v>
      </c>
      <c r="I134" s="167">
        <f t="shared" si="17"/>
        <v>-0.19700214132762317</v>
      </c>
      <c r="J134" s="167">
        <f>H134/H123</f>
        <v>1.4294971981854915E-2</v>
      </c>
    </row>
    <row r="135" spans="2:10" x14ac:dyDescent="0.25">
      <c r="B135" s="170" t="s">
        <v>148</v>
      </c>
      <c r="C135" s="171">
        <f t="shared" ref="C135:H135" si="18">C127-SUM(C128:C134)</f>
        <v>1707</v>
      </c>
      <c r="D135" s="171">
        <f t="shared" si="18"/>
        <v>4702</v>
      </c>
      <c r="E135" s="171">
        <f t="shared" si="18"/>
        <v>7785</v>
      </c>
      <c r="F135" s="171">
        <f t="shared" si="18"/>
        <v>5345</v>
      </c>
      <c r="G135" s="171">
        <f t="shared" si="18"/>
        <v>6420</v>
      </c>
      <c r="H135" s="171">
        <f t="shared" si="18"/>
        <v>6897</v>
      </c>
      <c r="I135" s="172">
        <f t="shared" si="17"/>
        <v>7.4299065420560639E-2</v>
      </c>
      <c r="J135" s="172">
        <f>H135/H123</f>
        <v>0.26291312469027561</v>
      </c>
    </row>
    <row r="136" spans="2:10" x14ac:dyDescent="0.25">
      <c r="B136" s="157" t="s">
        <v>55</v>
      </c>
      <c r="C136" s="176"/>
      <c r="D136" s="176"/>
      <c r="E136" s="176"/>
      <c r="F136" s="176"/>
      <c r="G136" s="176"/>
      <c r="H136" s="176"/>
      <c r="I136" s="177"/>
      <c r="J136" s="177"/>
    </row>
    <row r="137" spans="2:10" x14ac:dyDescent="0.25">
      <c r="B137" s="158" t="s">
        <v>71</v>
      </c>
      <c r="C137" s="178">
        <v>6261</v>
      </c>
      <c r="D137" s="178">
        <v>19784</v>
      </c>
      <c r="E137" s="178">
        <v>23285</v>
      </c>
      <c r="F137" s="178">
        <v>24142</v>
      </c>
      <c r="G137" s="178">
        <v>23290</v>
      </c>
      <c r="H137" s="178">
        <v>24074</v>
      </c>
      <c r="I137" s="179">
        <f t="shared" ref="I137:I149" si="19">IFERROR(H137/G137-1,"-")</f>
        <v>3.3662516101331086E-2</v>
      </c>
      <c r="J137" s="179">
        <f>H137/H137</f>
        <v>1</v>
      </c>
    </row>
    <row r="138" spans="2:10" x14ac:dyDescent="0.25">
      <c r="B138" s="161" t="s">
        <v>100</v>
      </c>
      <c r="C138" s="162">
        <v>1855</v>
      </c>
      <c r="D138" s="162">
        <v>2038</v>
      </c>
      <c r="E138" s="162">
        <v>1822</v>
      </c>
      <c r="F138" s="162">
        <v>1883</v>
      </c>
      <c r="G138" s="162">
        <v>1399</v>
      </c>
      <c r="H138" s="162">
        <v>2071</v>
      </c>
      <c r="I138" s="163">
        <f t="shared" si="19"/>
        <v>0.4803431022158684</v>
      </c>
      <c r="J138" s="163">
        <f>H138/H137</f>
        <v>8.6026418542826291E-2</v>
      </c>
    </row>
    <row r="139" spans="2:10" x14ac:dyDescent="0.25">
      <c r="B139" s="165" t="s">
        <v>106</v>
      </c>
      <c r="C139" s="166">
        <v>1567</v>
      </c>
      <c r="D139" s="166">
        <v>1333</v>
      </c>
      <c r="E139" s="166">
        <v>1001</v>
      </c>
      <c r="F139" s="166">
        <v>906</v>
      </c>
      <c r="G139" s="166">
        <v>447</v>
      </c>
      <c r="H139" s="166">
        <v>967</v>
      </c>
      <c r="I139" s="167">
        <f t="shared" si="19"/>
        <v>1.1633109619686799</v>
      </c>
      <c r="J139" s="167">
        <f>H139/H137</f>
        <v>4.0167815900972001E-2</v>
      </c>
    </row>
    <row r="140" spans="2:10" x14ac:dyDescent="0.25">
      <c r="B140" s="165" t="s">
        <v>103</v>
      </c>
      <c r="C140" s="166">
        <v>288</v>
      </c>
      <c r="D140" s="166">
        <v>705</v>
      </c>
      <c r="E140" s="166">
        <v>821</v>
      </c>
      <c r="F140" s="166">
        <v>977</v>
      </c>
      <c r="G140" s="166">
        <v>952</v>
      </c>
      <c r="H140" s="166">
        <v>1104</v>
      </c>
      <c r="I140" s="167">
        <f t="shared" si="19"/>
        <v>0.15966386554621859</v>
      </c>
      <c r="J140" s="167">
        <f>H140/H137</f>
        <v>4.5858602641854283E-2</v>
      </c>
    </row>
    <row r="141" spans="2:10" x14ac:dyDescent="0.25">
      <c r="B141" s="161" t="s">
        <v>110</v>
      </c>
      <c r="C141" s="162">
        <v>4406</v>
      </c>
      <c r="D141" s="162">
        <v>17746</v>
      </c>
      <c r="E141" s="162">
        <v>21463</v>
      </c>
      <c r="F141" s="162">
        <v>22259</v>
      </c>
      <c r="G141" s="162">
        <v>21891</v>
      </c>
      <c r="H141" s="162">
        <v>22003</v>
      </c>
      <c r="I141" s="163">
        <f t="shared" si="19"/>
        <v>5.1162578228496347E-3</v>
      </c>
      <c r="J141" s="163">
        <f>H141/H137</f>
        <v>0.91397358145717367</v>
      </c>
    </row>
    <row r="142" spans="2:10" x14ac:dyDescent="0.25">
      <c r="B142" s="165" t="s">
        <v>113</v>
      </c>
      <c r="C142" s="166">
        <v>1252</v>
      </c>
      <c r="D142" s="166">
        <v>5762</v>
      </c>
      <c r="E142" s="166">
        <v>8219</v>
      </c>
      <c r="F142" s="166">
        <v>8681</v>
      </c>
      <c r="G142" s="166">
        <v>9229</v>
      </c>
      <c r="H142" s="166">
        <v>8448</v>
      </c>
      <c r="I142" s="167">
        <f t="shared" si="19"/>
        <v>-8.4624553039332584E-2</v>
      </c>
      <c r="J142" s="167">
        <f>H142/H137</f>
        <v>0.3509180028246241</v>
      </c>
    </row>
    <row r="143" spans="2:10" x14ac:dyDescent="0.25">
      <c r="B143" s="165" t="s">
        <v>116</v>
      </c>
      <c r="C143" s="166">
        <v>440</v>
      </c>
      <c r="D143" s="166">
        <v>1573</v>
      </c>
      <c r="E143" s="166">
        <v>1685</v>
      </c>
      <c r="F143" s="166">
        <v>1850</v>
      </c>
      <c r="G143" s="166">
        <v>1784</v>
      </c>
      <c r="H143" s="166">
        <v>1986</v>
      </c>
      <c r="I143" s="167">
        <f t="shared" si="19"/>
        <v>0.11322869955156944</v>
      </c>
      <c r="J143" s="167">
        <f>H143/H137</f>
        <v>8.2495638448118302E-2</v>
      </c>
    </row>
    <row r="144" spans="2:10" x14ac:dyDescent="0.25">
      <c r="B144" s="165" t="s">
        <v>119</v>
      </c>
      <c r="C144" s="166">
        <v>767</v>
      </c>
      <c r="D144" s="166">
        <v>1899</v>
      </c>
      <c r="E144" s="166">
        <v>1942</v>
      </c>
      <c r="F144" s="166">
        <v>1825</v>
      </c>
      <c r="G144" s="166">
        <v>1388</v>
      </c>
      <c r="H144" s="166">
        <v>1748</v>
      </c>
      <c r="I144" s="167">
        <f t="shared" si="19"/>
        <v>0.25936599423631135</v>
      </c>
      <c r="J144" s="167">
        <f>H144/H137</f>
        <v>7.2609454182935948E-2</v>
      </c>
    </row>
    <row r="145" spans="2:10" x14ac:dyDescent="0.25">
      <c r="B145" s="165" t="s">
        <v>126</v>
      </c>
      <c r="C145" s="166">
        <v>81</v>
      </c>
      <c r="D145" s="166">
        <v>879</v>
      </c>
      <c r="E145" s="166">
        <v>624</v>
      </c>
      <c r="F145" s="166">
        <v>620</v>
      </c>
      <c r="G145" s="166">
        <v>489</v>
      </c>
      <c r="H145" s="166">
        <v>497</v>
      </c>
      <c r="I145" s="167">
        <f t="shared" si="19"/>
        <v>1.6359918200409052E-2</v>
      </c>
      <c r="J145" s="167">
        <f>H145/H137</f>
        <v>2.0644678906704329E-2</v>
      </c>
    </row>
    <row r="146" spans="2:10" x14ac:dyDescent="0.25">
      <c r="B146" s="165" t="s">
        <v>122</v>
      </c>
      <c r="C146" s="166">
        <v>126</v>
      </c>
      <c r="D146" s="166">
        <v>549</v>
      </c>
      <c r="E146" s="166">
        <v>478</v>
      </c>
      <c r="F146" s="166">
        <v>522</v>
      </c>
      <c r="G146" s="166">
        <v>497</v>
      </c>
      <c r="H146" s="166">
        <v>534</v>
      </c>
      <c r="I146" s="167">
        <f t="shared" si="19"/>
        <v>7.444668008048283E-2</v>
      </c>
      <c r="J146" s="167">
        <f>H146/H137</f>
        <v>2.218160671263604E-2</v>
      </c>
    </row>
    <row r="147" spans="2:10" x14ac:dyDescent="0.25">
      <c r="B147" s="165" t="s">
        <v>131</v>
      </c>
      <c r="C147" s="166">
        <v>6</v>
      </c>
      <c r="D147" s="166">
        <v>493</v>
      </c>
      <c r="E147" s="166">
        <v>556</v>
      </c>
      <c r="F147" s="166">
        <v>560</v>
      </c>
      <c r="G147" s="166">
        <v>676</v>
      </c>
      <c r="H147" s="166">
        <v>441</v>
      </c>
      <c r="I147" s="167">
        <f t="shared" si="19"/>
        <v>-0.34763313609467461</v>
      </c>
      <c r="J147" s="167">
        <f>H147/H137</f>
        <v>1.831851790313201E-2</v>
      </c>
    </row>
    <row r="148" spans="2:10" x14ac:dyDescent="0.25">
      <c r="B148" s="165" t="s">
        <v>134</v>
      </c>
      <c r="C148" s="166">
        <v>12</v>
      </c>
      <c r="D148" s="166">
        <v>375</v>
      </c>
      <c r="E148" s="166">
        <v>585</v>
      </c>
      <c r="F148" s="166">
        <v>569</v>
      </c>
      <c r="G148" s="166">
        <v>484</v>
      </c>
      <c r="H148" s="166">
        <v>411</v>
      </c>
      <c r="I148" s="167">
        <f t="shared" si="19"/>
        <v>-0.15082644628099173</v>
      </c>
      <c r="J148" s="167">
        <f>H148/H137</f>
        <v>1.707236022264684E-2</v>
      </c>
    </row>
    <row r="149" spans="2:10" x14ac:dyDescent="0.25">
      <c r="B149" s="170" t="s">
        <v>148</v>
      </c>
      <c r="C149" s="171">
        <f t="shared" ref="C149:H149" si="20">C141-SUM(C142:C148)</f>
        <v>1722</v>
      </c>
      <c r="D149" s="171">
        <f t="shared" si="20"/>
        <v>6216</v>
      </c>
      <c r="E149" s="171">
        <f t="shared" si="20"/>
        <v>7374</v>
      </c>
      <c r="F149" s="171">
        <f t="shared" si="20"/>
        <v>7632</v>
      </c>
      <c r="G149" s="171">
        <f t="shared" si="20"/>
        <v>7344</v>
      </c>
      <c r="H149" s="171">
        <f t="shared" si="20"/>
        <v>7938</v>
      </c>
      <c r="I149" s="172">
        <f t="shared" si="19"/>
        <v>8.0882352941176405E-2</v>
      </c>
      <c r="J149" s="172">
        <f>H149/H137</f>
        <v>0.32973332225637619</v>
      </c>
    </row>
    <row r="150" spans="2:10" x14ac:dyDescent="0.25">
      <c r="B150" s="157" t="s">
        <v>56</v>
      </c>
      <c r="C150" s="176"/>
      <c r="D150" s="176"/>
      <c r="E150" s="176"/>
      <c r="F150" s="176"/>
      <c r="G150" s="176"/>
      <c r="H150" s="176"/>
      <c r="I150" s="177"/>
      <c r="J150" s="177"/>
    </row>
    <row r="151" spans="2:10" x14ac:dyDescent="0.25">
      <c r="B151" s="158" t="s">
        <v>71</v>
      </c>
      <c r="C151" s="178">
        <v>2510</v>
      </c>
      <c r="D151" s="178">
        <v>8951</v>
      </c>
      <c r="E151" s="178">
        <v>10349</v>
      </c>
      <c r="F151" s="178">
        <v>10850</v>
      </c>
      <c r="G151" s="178">
        <v>10319</v>
      </c>
      <c r="H151" s="178">
        <v>8275</v>
      </c>
      <c r="I151" s="179">
        <f t="shared" ref="I151:I163" si="21">IFERROR(H151/G151-1,"-")</f>
        <v>-0.19808120941951735</v>
      </c>
      <c r="J151" s="179">
        <f>H151/H151</f>
        <v>1</v>
      </c>
    </row>
    <row r="152" spans="2:10" x14ac:dyDescent="0.25">
      <c r="B152" s="161" t="s">
        <v>100</v>
      </c>
      <c r="C152" s="162">
        <v>1581</v>
      </c>
      <c r="D152" s="162">
        <v>3760</v>
      </c>
      <c r="E152" s="162">
        <v>4305</v>
      </c>
      <c r="F152" s="162">
        <v>3866</v>
      </c>
      <c r="G152" s="162">
        <v>3425</v>
      </c>
      <c r="H152" s="162">
        <v>2325</v>
      </c>
      <c r="I152" s="163">
        <f t="shared" si="21"/>
        <v>-0.32116788321167888</v>
      </c>
      <c r="J152" s="163">
        <f>H152/H151</f>
        <v>0.2809667673716012</v>
      </c>
    </row>
    <row r="153" spans="2:10" x14ac:dyDescent="0.25">
      <c r="B153" s="165" t="s">
        <v>106</v>
      </c>
      <c r="C153" s="166">
        <v>1346</v>
      </c>
      <c r="D153" s="166">
        <v>2962</v>
      </c>
      <c r="E153" s="166">
        <v>3065</v>
      </c>
      <c r="F153" s="166">
        <v>2925</v>
      </c>
      <c r="G153" s="166">
        <v>2414</v>
      </c>
      <c r="H153" s="166">
        <v>1162</v>
      </c>
      <c r="I153" s="167">
        <f t="shared" si="21"/>
        <v>-0.51864125932062966</v>
      </c>
      <c r="J153" s="167">
        <f>H153/H151</f>
        <v>0.14042296072507554</v>
      </c>
    </row>
    <row r="154" spans="2:10" x14ac:dyDescent="0.25">
      <c r="B154" s="165" t="s">
        <v>103</v>
      </c>
      <c r="C154" s="166">
        <v>235</v>
      </c>
      <c r="D154" s="166">
        <v>798</v>
      </c>
      <c r="E154" s="166">
        <v>1240</v>
      </c>
      <c r="F154" s="166">
        <v>941</v>
      </c>
      <c r="G154" s="166">
        <v>1011</v>
      </c>
      <c r="H154" s="166">
        <v>1163</v>
      </c>
      <c r="I154" s="167">
        <f t="shared" si="21"/>
        <v>0.15034619188921861</v>
      </c>
      <c r="J154" s="167">
        <f>H154/H151</f>
        <v>0.14054380664652569</v>
      </c>
    </row>
    <row r="155" spans="2:10" x14ac:dyDescent="0.25">
      <c r="B155" s="161" t="s">
        <v>110</v>
      </c>
      <c r="C155" s="162">
        <v>929</v>
      </c>
      <c r="D155" s="162">
        <v>5191</v>
      </c>
      <c r="E155" s="162">
        <v>6044</v>
      </c>
      <c r="F155" s="162">
        <v>6984</v>
      </c>
      <c r="G155" s="162">
        <v>6894</v>
      </c>
      <c r="H155" s="162">
        <v>5950</v>
      </c>
      <c r="I155" s="163">
        <f t="shared" si="21"/>
        <v>-0.13693066434580792</v>
      </c>
      <c r="J155" s="163">
        <f>H155/H151</f>
        <v>0.7190332326283988</v>
      </c>
    </row>
    <row r="156" spans="2:10" x14ac:dyDescent="0.25">
      <c r="B156" s="165" t="s">
        <v>113</v>
      </c>
      <c r="C156" s="166">
        <v>175</v>
      </c>
      <c r="D156" s="166">
        <v>1280</v>
      </c>
      <c r="E156" s="166">
        <v>2190</v>
      </c>
      <c r="F156" s="166">
        <v>1944</v>
      </c>
      <c r="G156" s="166">
        <v>1708</v>
      </c>
      <c r="H156" s="166">
        <v>1525</v>
      </c>
      <c r="I156" s="167">
        <f t="shared" si="21"/>
        <v>-0.1071428571428571</v>
      </c>
      <c r="J156" s="167">
        <f>H156/H151</f>
        <v>0.18429003021148035</v>
      </c>
    </row>
    <row r="157" spans="2:10" x14ac:dyDescent="0.25">
      <c r="B157" s="165" t="s">
        <v>116</v>
      </c>
      <c r="C157" s="166">
        <v>229</v>
      </c>
      <c r="D157" s="166">
        <v>1686</v>
      </c>
      <c r="E157" s="166">
        <v>1249</v>
      </c>
      <c r="F157" s="166">
        <v>1401</v>
      </c>
      <c r="G157" s="166">
        <v>1375</v>
      </c>
      <c r="H157" s="166">
        <v>1352</v>
      </c>
      <c r="I157" s="167">
        <f t="shared" si="21"/>
        <v>-1.6727272727272702E-2</v>
      </c>
      <c r="J157" s="167">
        <f>H157/H151</f>
        <v>0.16338368580060422</v>
      </c>
    </row>
    <row r="158" spans="2:10" x14ac:dyDescent="0.25">
      <c r="B158" s="165" t="s">
        <v>119</v>
      </c>
      <c r="C158" s="166">
        <v>183</v>
      </c>
      <c r="D158" s="166">
        <v>520</v>
      </c>
      <c r="E158" s="166">
        <v>828</v>
      </c>
      <c r="F158" s="166">
        <v>1002</v>
      </c>
      <c r="G158" s="166">
        <v>1268</v>
      </c>
      <c r="H158" s="166">
        <v>942</v>
      </c>
      <c r="I158" s="167">
        <f t="shared" si="21"/>
        <v>-0.25709779179810721</v>
      </c>
      <c r="J158" s="167">
        <f>H158/H151</f>
        <v>0.11383685800604229</v>
      </c>
    </row>
    <row r="159" spans="2:10" x14ac:dyDescent="0.25">
      <c r="B159" s="165" t="s">
        <v>126</v>
      </c>
      <c r="C159" s="166">
        <v>14</v>
      </c>
      <c r="D159" s="166">
        <v>144</v>
      </c>
      <c r="E159" s="166">
        <v>203</v>
      </c>
      <c r="F159" s="166">
        <v>256</v>
      </c>
      <c r="G159" s="166">
        <v>244</v>
      </c>
      <c r="H159" s="166">
        <v>264</v>
      </c>
      <c r="I159" s="167">
        <f t="shared" si="21"/>
        <v>8.1967213114754189E-2</v>
      </c>
      <c r="J159" s="167">
        <f>H159/H151</f>
        <v>3.1903323262839879E-2</v>
      </c>
    </row>
    <row r="160" spans="2:10" x14ac:dyDescent="0.25">
      <c r="B160" s="165" t="s">
        <v>122</v>
      </c>
      <c r="C160" s="166">
        <v>42</v>
      </c>
      <c r="D160" s="166">
        <v>263</v>
      </c>
      <c r="E160" s="166">
        <v>168</v>
      </c>
      <c r="F160" s="166">
        <v>244</v>
      </c>
      <c r="G160" s="166">
        <v>265</v>
      </c>
      <c r="H160" s="166">
        <v>227</v>
      </c>
      <c r="I160" s="167">
        <f t="shared" si="21"/>
        <v>-0.14339622641509431</v>
      </c>
      <c r="J160" s="167">
        <f>H160/H151</f>
        <v>2.7432024169184291E-2</v>
      </c>
    </row>
    <row r="161" spans="2:10" x14ac:dyDescent="0.25">
      <c r="B161" s="165" t="s">
        <v>131</v>
      </c>
      <c r="C161" s="166">
        <v>6</v>
      </c>
      <c r="D161" s="166">
        <v>58</v>
      </c>
      <c r="E161" s="166">
        <v>69</v>
      </c>
      <c r="F161" s="166">
        <v>136</v>
      </c>
      <c r="G161" s="166">
        <v>100</v>
      </c>
      <c r="H161" s="166">
        <v>50</v>
      </c>
      <c r="I161" s="167">
        <f t="shared" si="21"/>
        <v>-0.5</v>
      </c>
      <c r="J161" s="167">
        <f>H161/H151</f>
        <v>6.0422960725075529E-3</v>
      </c>
    </row>
    <row r="162" spans="2:10" x14ac:dyDescent="0.25">
      <c r="B162" s="165" t="s">
        <v>134</v>
      </c>
      <c r="C162" s="166">
        <v>1</v>
      </c>
      <c r="D162" s="166">
        <v>138</v>
      </c>
      <c r="E162" s="166">
        <v>91</v>
      </c>
      <c r="F162" s="166">
        <v>191</v>
      </c>
      <c r="G162" s="166">
        <v>153</v>
      </c>
      <c r="H162" s="166">
        <v>75</v>
      </c>
      <c r="I162" s="167">
        <f t="shared" si="21"/>
        <v>-0.50980392156862742</v>
      </c>
      <c r="J162" s="167">
        <f>H162/H151</f>
        <v>9.0634441087613302E-3</v>
      </c>
    </row>
    <row r="163" spans="2:10" x14ac:dyDescent="0.25">
      <c r="B163" s="170" t="s">
        <v>148</v>
      </c>
      <c r="C163" s="171">
        <f t="shared" ref="C163:H163" si="22">C155-SUM(C156:C162)</f>
        <v>279</v>
      </c>
      <c r="D163" s="171">
        <f t="shared" si="22"/>
        <v>1102</v>
      </c>
      <c r="E163" s="171">
        <f t="shared" si="22"/>
        <v>1246</v>
      </c>
      <c r="F163" s="171">
        <f t="shared" si="22"/>
        <v>1810</v>
      </c>
      <c r="G163" s="171">
        <f t="shared" si="22"/>
        <v>1781</v>
      </c>
      <c r="H163" s="171">
        <f t="shared" si="22"/>
        <v>1515</v>
      </c>
      <c r="I163" s="172">
        <f t="shared" si="21"/>
        <v>-0.1493542953396968</v>
      </c>
      <c r="J163" s="172">
        <f>H163/H151</f>
        <v>0.18308157099697886</v>
      </c>
    </row>
    <row r="164" spans="2:10" x14ac:dyDescent="0.25">
      <c r="C164" s="81"/>
      <c r="D164" s="81"/>
      <c r="E164" s="81"/>
      <c r="F164" s="81"/>
      <c r="G164" s="81"/>
      <c r="H164" s="81"/>
      <c r="I164" s="81"/>
    </row>
    <row r="165" spans="2:10" x14ac:dyDescent="0.25">
      <c r="B165" s="107" t="s">
        <v>58</v>
      </c>
      <c r="C165" s="107"/>
      <c r="D165" s="107"/>
      <c r="E165" s="107"/>
      <c r="F165" s="107"/>
      <c r="G165" s="107"/>
      <c r="H165" s="107"/>
      <c r="I165" s="107"/>
      <c r="J165" s="107"/>
    </row>
  </sheetData>
  <mergeCells count="3">
    <mergeCell ref="B6:J6"/>
    <mergeCell ref="M6:T6"/>
    <mergeCell ref="C8:J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D842E-27E1-4DC0-8063-40466C00C52B}">
  <sheetPr>
    <tabColor theme="7" tint="0.79998168889431442"/>
    <pageSetUpPr fitToPage="1"/>
  </sheetPr>
  <dimension ref="A1:Y163"/>
  <sheetViews>
    <sheetView showGridLines="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  <col min="16" max="25" width="11.42578125" hidden="1" customWidth="1"/>
  </cols>
  <sheetData>
    <row r="1" spans="1:25" ht="42.75" customHeight="1" x14ac:dyDescent="0.25"/>
    <row r="4" spans="1:25" ht="42" customHeight="1" thickBot="1" x14ac:dyDescent="0.3">
      <c r="B4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146"/>
      <c r="L4" s="146"/>
      <c r="M4" s="146"/>
      <c r="P4" s="145" t="s">
        <v>266</v>
      </c>
      <c r="Q4" s="146"/>
      <c r="R4" s="146"/>
      <c r="S4" s="146"/>
      <c r="T4" s="146"/>
      <c r="U4" s="146"/>
      <c r="V4" s="146"/>
      <c r="W4" s="146"/>
      <c r="X4" s="146"/>
      <c r="Y4" s="146"/>
    </row>
    <row r="5" spans="1:25" ht="6" customHeight="1" x14ac:dyDescent="0.25"/>
    <row r="6" spans="1:25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  <c r="M6" s="314"/>
      <c r="P6" s="147"/>
      <c r="Q6" s="313" t="s">
        <v>46</v>
      </c>
      <c r="R6" s="314"/>
      <c r="S6" s="314"/>
      <c r="T6" s="314"/>
      <c r="U6" s="314"/>
      <c r="V6" s="314"/>
      <c r="W6" s="314"/>
      <c r="X6" s="314"/>
      <c r="Y6" s="314"/>
    </row>
    <row r="7" spans="1:25" s="148" customFormat="1" ht="72" customHeight="1" x14ac:dyDescent="0.25">
      <c r="B7" s="149"/>
      <c r="C7" s="174" t="s">
        <v>267</v>
      </c>
      <c r="D7" s="174" t="s">
        <v>268</v>
      </c>
      <c r="E7" s="174" t="s">
        <v>269</v>
      </c>
      <c r="F7" s="174" t="s">
        <v>270</v>
      </c>
      <c r="G7" s="174" t="s">
        <v>271</v>
      </c>
      <c r="H7" s="174" t="s">
        <v>272</v>
      </c>
      <c r="I7" s="175" t="str">
        <f>CONCATENATE("var. ",RIGHT(H7,2),"/",RIGHT(G7,2))</f>
        <v>var. 25/24</v>
      </c>
      <c r="J7" s="175" t="str">
        <f>CONCATENATE("var. ",RIGHT(H7,2),"/",RIGHT(D7,2))</f>
        <v>var. 25/21</v>
      </c>
      <c r="K7" s="174" t="str">
        <f>CONCATENATE("dif. ",RIGHT(H7,2),"/",RIGHT(G7,2))</f>
        <v>dif. 25/24</v>
      </c>
      <c r="L7" s="174" t="str">
        <f>CONCATENATE("dif. ",RIGHT(H7,2),"/",RIGHT(D7,2))</f>
        <v>dif. 25/21</v>
      </c>
      <c r="M7" s="175" t="str">
        <f>CONCATENATE("Cuota s/ total lugares de residencia ",RIGHT(H7,4))</f>
        <v>Cuota s/ total lugares de residencia 2025</v>
      </c>
      <c r="P7" s="149"/>
      <c r="Q7" s="174" t="s">
        <v>267</v>
      </c>
      <c r="R7" s="174" t="s">
        <v>268</v>
      </c>
      <c r="S7" s="174" t="s">
        <v>269</v>
      </c>
      <c r="T7" s="174" t="s">
        <v>270</v>
      </c>
      <c r="U7" s="174" t="s">
        <v>271</v>
      </c>
      <c r="V7" s="174" t="s">
        <v>272</v>
      </c>
      <c r="W7" s="175" t="str">
        <f>CONCATENATE("var. ",RIGHT(V7,2),"/",RIGHT(U7,2))</f>
        <v>var. 25/24</v>
      </c>
      <c r="X7" s="174" t="str">
        <f>CONCATENATE("dif. ",RIGHT(V7,2),"/",RIGHT(U7,2))</f>
        <v>dif. 25/24</v>
      </c>
      <c r="Y7" s="175" t="str">
        <f>CONCATENATE("Cuota s/ total lugares de residencia ",RIGHT(V7,4))</f>
        <v>Cuota s/ total lugares de residencia 2025</v>
      </c>
    </row>
    <row r="8" spans="1:25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6"/>
      <c r="L8" s="155"/>
      <c r="M8" s="155"/>
      <c r="P8" s="157" t="s">
        <v>48</v>
      </c>
      <c r="Q8" s="155"/>
      <c r="R8" s="155"/>
      <c r="S8" s="155"/>
      <c r="T8" s="155"/>
      <c r="U8" s="155"/>
      <c r="V8" s="156"/>
      <c r="W8" s="156"/>
      <c r="X8" s="156"/>
      <c r="Y8" s="155"/>
    </row>
    <row r="9" spans="1:25" x14ac:dyDescent="0.25">
      <c r="A9" s="1" t="s">
        <v>99</v>
      </c>
      <c r="B9" s="158" t="s">
        <v>71</v>
      </c>
      <c r="C9" s="178">
        <v>1565030</v>
      </c>
      <c r="D9" s="178">
        <v>2335438</v>
      </c>
      <c r="E9" s="178">
        <v>4757683</v>
      </c>
      <c r="F9" s="178">
        <v>5189113</v>
      </c>
      <c r="G9" s="178">
        <v>5483293</v>
      </c>
      <c r="H9" s="178">
        <v>5451268</v>
      </c>
      <c r="I9" s="179">
        <f>IFERROR(H9/G9-1,"-")</f>
        <v>-5.8404684921998795E-3</v>
      </c>
      <c r="J9" s="179">
        <f>IFERROR(H9/D9-1,"-")</f>
        <v>1.3341523089030836</v>
      </c>
      <c r="K9" s="178">
        <f>H9-G9</f>
        <v>-32025</v>
      </c>
      <c r="L9" s="178">
        <f>H9-D9</f>
        <v>3115830</v>
      </c>
      <c r="M9" s="179">
        <f t="shared" ref="M9:M21" si="0">H9/H$9</f>
        <v>1</v>
      </c>
      <c r="P9" s="158" t="s">
        <v>71</v>
      </c>
      <c r="Q9" s="178">
        <v>353830</v>
      </c>
      <c r="R9" s="178">
        <v>492258</v>
      </c>
      <c r="S9" s="178">
        <v>1243535</v>
      </c>
      <c r="T9" s="178">
        <v>1320376</v>
      </c>
      <c r="U9" s="178">
        <v>1387795</v>
      </c>
      <c r="V9" s="178">
        <v>1421549</v>
      </c>
      <c r="W9" s="179">
        <f>IFERROR(V9/U9-1,"-")</f>
        <v>2.4322036035581585E-2</v>
      </c>
      <c r="X9" s="178">
        <f>V9-U9</f>
        <v>33754</v>
      </c>
      <c r="Y9" s="179">
        <f t="shared" ref="Y9:Y21" si="1">V9/V$9</f>
        <v>1</v>
      </c>
    </row>
    <row r="10" spans="1:25" x14ac:dyDescent="0.25">
      <c r="A10" s="164" t="s">
        <v>106</v>
      </c>
      <c r="B10" s="161" t="s">
        <v>100</v>
      </c>
      <c r="C10" s="162">
        <v>456675</v>
      </c>
      <c r="D10" s="162">
        <v>800301</v>
      </c>
      <c r="E10" s="162">
        <v>1016781</v>
      </c>
      <c r="F10" s="162">
        <v>1042721</v>
      </c>
      <c r="G10" s="162">
        <v>1059034</v>
      </c>
      <c r="H10" s="162">
        <v>1068407</v>
      </c>
      <c r="I10" s="180">
        <f>IFERROR(H10/G10-1,"-")</f>
        <v>8.8505184913798551E-3</v>
      </c>
      <c r="J10" s="163">
        <f t="shared" ref="J10:J21" si="2">IFERROR(H10/D10-1,"-")</f>
        <v>0.33500645382174965</v>
      </c>
      <c r="K10" s="162">
        <f t="shared" ref="K10:K20" si="3">H10-G10</f>
        <v>9373</v>
      </c>
      <c r="L10" s="162">
        <f t="shared" ref="L10:L21" si="4">H10-D10</f>
        <v>268106</v>
      </c>
      <c r="M10" s="163">
        <f t="shared" si="0"/>
        <v>0.19599238195590457</v>
      </c>
      <c r="P10" s="161" t="s">
        <v>100</v>
      </c>
      <c r="Q10" s="162">
        <v>46908</v>
      </c>
      <c r="R10" s="162">
        <v>83468</v>
      </c>
      <c r="S10" s="162">
        <v>123951</v>
      </c>
      <c r="T10" s="162">
        <v>119487</v>
      </c>
      <c r="U10" s="162">
        <v>114632</v>
      </c>
      <c r="V10" s="162">
        <v>118257</v>
      </c>
      <c r="W10" s="180">
        <f>IFERROR(V10/U10-1,"-")</f>
        <v>3.1622932514481228E-2</v>
      </c>
      <c r="X10" s="161">
        <f t="shared" ref="X10:X20" si="5">V10-U10</f>
        <v>3625</v>
      </c>
      <c r="Y10" s="163">
        <f t="shared" si="1"/>
        <v>8.3188831338209229E-2</v>
      </c>
    </row>
    <row r="11" spans="1:25" x14ac:dyDescent="0.25">
      <c r="A11" s="164" t="s">
        <v>103</v>
      </c>
      <c r="B11" s="165" t="s">
        <v>106</v>
      </c>
      <c r="C11" s="166">
        <v>208389</v>
      </c>
      <c r="D11" s="166">
        <v>416048</v>
      </c>
      <c r="E11" s="166">
        <v>423208</v>
      </c>
      <c r="F11" s="166">
        <v>430319</v>
      </c>
      <c r="G11" s="166">
        <v>422024</v>
      </c>
      <c r="H11" s="166">
        <v>424160</v>
      </c>
      <c r="I11" s="181">
        <f>IFERROR(H11/G11-1,"-")</f>
        <v>5.0613235266241396E-3</v>
      </c>
      <c r="J11" s="167">
        <f t="shared" si="2"/>
        <v>1.9497750259585445E-2</v>
      </c>
      <c r="K11" s="166">
        <f t="shared" si="3"/>
        <v>2136</v>
      </c>
      <c r="L11" s="166">
        <f t="shared" si="4"/>
        <v>8112</v>
      </c>
      <c r="M11" s="167">
        <f t="shared" si="0"/>
        <v>7.7809419753349124E-2</v>
      </c>
      <c r="P11" s="165" t="s">
        <v>106</v>
      </c>
      <c r="Q11" s="166">
        <v>23289</v>
      </c>
      <c r="R11" s="166">
        <v>43482</v>
      </c>
      <c r="S11" s="166">
        <v>48094</v>
      </c>
      <c r="T11" s="166">
        <v>52610</v>
      </c>
      <c r="U11" s="166">
        <v>50222</v>
      </c>
      <c r="V11" s="166">
        <v>51408</v>
      </c>
      <c r="W11" s="181">
        <f>IFERROR(V11/U11-1,"-")</f>
        <v>2.3615148739596137E-2</v>
      </c>
      <c r="X11" s="165">
        <f t="shared" si="5"/>
        <v>1186</v>
      </c>
      <c r="Y11" s="167">
        <f>V11/V$9</f>
        <v>3.6163368269401898E-2</v>
      </c>
    </row>
    <row r="12" spans="1:25" x14ac:dyDescent="0.25">
      <c r="A12" s="1"/>
      <c r="B12" s="165" t="s">
        <v>103</v>
      </c>
      <c r="C12" s="166">
        <v>248286</v>
      </c>
      <c r="D12" s="166">
        <v>384253</v>
      </c>
      <c r="E12" s="166">
        <v>593573</v>
      </c>
      <c r="F12" s="166">
        <v>612402</v>
      </c>
      <c r="G12" s="166">
        <v>637010</v>
      </c>
      <c r="H12" s="166">
        <v>644247</v>
      </c>
      <c r="I12" s="181">
        <f>IFERROR(H12/G12-1,"-")</f>
        <v>1.1360889154016451E-2</v>
      </c>
      <c r="J12" s="167">
        <f t="shared" si="2"/>
        <v>0.6766219131665856</v>
      </c>
      <c r="K12" s="166">
        <f t="shared" si="3"/>
        <v>7237</v>
      </c>
      <c r="L12" s="166">
        <f t="shared" si="4"/>
        <v>259994</v>
      </c>
      <c r="M12" s="167">
        <f t="shared" si="0"/>
        <v>0.11818296220255545</v>
      </c>
      <c r="P12" s="165" t="s">
        <v>103</v>
      </c>
      <c r="Q12" s="166">
        <v>23619</v>
      </c>
      <c r="R12" s="166">
        <v>39986</v>
      </c>
      <c r="S12" s="166">
        <v>75857</v>
      </c>
      <c r="T12" s="166">
        <v>66877</v>
      </c>
      <c r="U12" s="166">
        <v>64410</v>
      </c>
      <c r="V12" s="166">
        <v>66849</v>
      </c>
      <c r="W12" s="181">
        <f>IFERROR(V12/U12-1,"-")</f>
        <v>3.7866790870982658E-2</v>
      </c>
      <c r="X12" s="165">
        <f t="shared" si="5"/>
        <v>2439</v>
      </c>
      <c r="Y12" s="167">
        <f t="shared" si="1"/>
        <v>4.7025463068807338E-2</v>
      </c>
    </row>
    <row r="13" spans="1:25" s="58" customFormat="1" x14ac:dyDescent="0.25">
      <c r="B13" s="161" t="s">
        <v>110</v>
      </c>
      <c r="C13" s="162">
        <v>1108355</v>
      </c>
      <c r="D13" s="162">
        <v>1535137</v>
      </c>
      <c r="E13" s="162">
        <v>3740902</v>
      </c>
      <c r="F13" s="162">
        <v>4146392</v>
      </c>
      <c r="G13" s="162">
        <v>4424259</v>
      </c>
      <c r="H13" s="162">
        <v>4382861</v>
      </c>
      <c r="I13" s="180">
        <f>IFERROR(H13/G13-1,"-")</f>
        <v>-9.3570471348987105E-3</v>
      </c>
      <c r="J13" s="163">
        <f t="shared" si="2"/>
        <v>1.8550292254046381</v>
      </c>
      <c r="K13" s="162">
        <f t="shared" si="3"/>
        <v>-41398</v>
      </c>
      <c r="L13" s="162">
        <f t="shared" si="4"/>
        <v>2847724</v>
      </c>
      <c r="M13" s="163">
        <f t="shared" si="0"/>
        <v>0.80400761804409537</v>
      </c>
      <c r="P13" s="161" t="s">
        <v>110</v>
      </c>
      <c r="Q13" s="162">
        <v>306922</v>
      </c>
      <c r="R13" s="162">
        <v>408790</v>
      </c>
      <c r="S13" s="162">
        <v>1119584</v>
      </c>
      <c r="T13" s="162">
        <v>1200889</v>
      </c>
      <c r="U13" s="162">
        <v>1273163</v>
      </c>
      <c r="V13" s="162">
        <v>1303292</v>
      </c>
      <c r="W13" s="180">
        <f>IFERROR(V13/U13-1,"-")</f>
        <v>2.3664683940705089E-2</v>
      </c>
      <c r="X13" s="161">
        <f t="shared" si="5"/>
        <v>30129</v>
      </c>
      <c r="Y13" s="163">
        <f t="shared" si="1"/>
        <v>0.9168111686617908</v>
      </c>
    </row>
    <row r="14" spans="1:25" s="58" customFormat="1" x14ac:dyDescent="0.25">
      <c r="B14" s="165" t="s">
        <v>113</v>
      </c>
      <c r="C14" s="166">
        <v>436126</v>
      </c>
      <c r="D14" s="166">
        <v>446045</v>
      </c>
      <c r="E14" s="166">
        <v>1722453</v>
      </c>
      <c r="F14" s="166">
        <v>1939573</v>
      </c>
      <c r="G14" s="166">
        <v>2075774</v>
      </c>
      <c r="H14" s="166">
        <v>2057896</v>
      </c>
      <c r="I14" s="181">
        <f t="shared" ref="I14:I21" si="6">IFERROR(H14/G14-1,"-")</f>
        <v>-8.61269097695605E-3</v>
      </c>
      <c r="J14" s="167">
        <f t="shared" si="2"/>
        <v>3.6136510890156819</v>
      </c>
      <c r="K14" s="166">
        <f t="shared" si="3"/>
        <v>-17878</v>
      </c>
      <c r="L14" s="166">
        <f t="shared" si="4"/>
        <v>1611851</v>
      </c>
      <c r="M14" s="167">
        <f t="shared" si="0"/>
        <v>0.37750776516582929</v>
      </c>
      <c r="P14" s="165" t="s">
        <v>113</v>
      </c>
      <c r="Q14" s="166">
        <v>138827</v>
      </c>
      <c r="R14" s="166">
        <v>142606</v>
      </c>
      <c r="S14" s="166">
        <v>581865</v>
      </c>
      <c r="T14" s="166">
        <v>634686</v>
      </c>
      <c r="U14" s="166">
        <v>683651</v>
      </c>
      <c r="V14" s="166">
        <v>687259</v>
      </c>
      <c r="W14" s="181">
        <f t="shared" ref="W14:W21" si="7">IFERROR(V14/U14-1,"-")</f>
        <v>5.2775465844414615E-3</v>
      </c>
      <c r="X14" s="165">
        <f t="shared" si="5"/>
        <v>3608</v>
      </c>
      <c r="Y14" s="167">
        <f t="shared" si="1"/>
        <v>0.48345783367298628</v>
      </c>
    </row>
    <row r="15" spans="1:25" x14ac:dyDescent="0.25">
      <c r="A15" s="1"/>
      <c r="B15" s="165" t="s">
        <v>116</v>
      </c>
      <c r="C15" s="166">
        <v>138813</v>
      </c>
      <c r="D15" s="166">
        <v>222501</v>
      </c>
      <c r="E15" s="166">
        <v>385709</v>
      </c>
      <c r="F15" s="166">
        <v>432804</v>
      </c>
      <c r="G15" s="166">
        <v>447422</v>
      </c>
      <c r="H15" s="166">
        <v>442958</v>
      </c>
      <c r="I15" s="181">
        <f t="shared" si="6"/>
        <v>-9.9771580297794982E-3</v>
      </c>
      <c r="J15" s="167">
        <f t="shared" si="2"/>
        <v>0.99081352443359805</v>
      </c>
      <c r="K15" s="166">
        <f t="shared" si="3"/>
        <v>-4464</v>
      </c>
      <c r="L15" s="166">
        <f t="shared" si="4"/>
        <v>220457</v>
      </c>
      <c r="M15" s="167">
        <f t="shared" si="0"/>
        <v>8.125779176514529E-2</v>
      </c>
      <c r="P15" s="165" t="s">
        <v>116</v>
      </c>
      <c r="Q15" s="166">
        <v>15137</v>
      </c>
      <c r="R15" s="166">
        <v>21846</v>
      </c>
      <c r="S15" s="166">
        <v>39072</v>
      </c>
      <c r="T15" s="166">
        <v>45119</v>
      </c>
      <c r="U15" s="166">
        <v>44501</v>
      </c>
      <c r="V15" s="166">
        <v>50301</v>
      </c>
      <c r="W15" s="181">
        <f t="shared" si="7"/>
        <v>0.13033414979438662</v>
      </c>
      <c r="X15" s="165">
        <f t="shared" si="5"/>
        <v>5800</v>
      </c>
      <c r="Y15" s="167">
        <f t="shared" si="1"/>
        <v>3.5384640276205748E-2</v>
      </c>
    </row>
    <row r="16" spans="1:25" x14ac:dyDescent="0.25">
      <c r="A16" s="1"/>
      <c r="B16" s="165" t="s">
        <v>119</v>
      </c>
      <c r="C16" s="166">
        <v>58766</v>
      </c>
      <c r="D16" s="166">
        <v>128102</v>
      </c>
      <c r="E16" s="166">
        <v>197280</v>
      </c>
      <c r="F16" s="166">
        <v>215579</v>
      </c>
      <c r="G16" s="166">
        <v>230703</v>
      </c>
      <c r="H16" s="166">
        <v>223159</v>
      </c>
      <c r="I16" s="181">
        <f t="shared" si="6"/>
        <v>-3.2700051581470602E-2</v>
      </c>
      <c r="J16" s="167">
        <f t="shared" si="2"/>
        <v>0.74204149818113696</v>
      </c>
      <c r="K16" s="166">
        <f t="shared" si="3"/>
        <v>-7544</v>
      </c>
      <c r="L16" s="166">
        <f t="shared" si="4"/>
        <v>95057</v>
      </c>
      <c r="M16" s="167">
        <f t="shared" si="0"/>
        <v>4.0937081060773386E-2</v>
      </c>
      <c r="P16" s="165" t="s">
        <v>119</v>
      </c>
      <c r="Q16" s="166">
        <v>9417</v>
      </c>
      <c r="R16" s="166">
        <v>19919</v>
      </c>
      <c r="S16" s="166">
        <v>27268</v>
      </c>
      <c r="T16" s="166">
        <v>28878</v>
      </c>
      <c r="U16" s="166">
        <v>29098</v>
      </c>
      <c r="V16" s="166">
        <v>32407</v>
      </c>
      <c r="W16" s="181">
        <f t="shared" si="7"/>
        <v>0.11371915595573578</v>
      </c>
      <c r="X16" s="165">
        <f t="shared" si="5"/>
        <v>3309</v>
      </c>
      <c r="Y16" s="167">
        <f t="shared" si="1"/>
        <v>2.2796963031172335E-2</v>
      </c>
    </row>
    <row r="17" spans="1:25" x14ac:dyDescent="0.25">
      <c r="A17" s="1"/>
      <c r="B17" s="165" t="s">
        <v>126</v>
      </c>
      <c r="C17" s="166">
        <v>39648</v>
      </c>
      <c r="D17" s="166">
        <v>93209</v>
      </c>
      <c r="E17" s="166">
        <v>169583</v>
      </c>
      <c r="F17" s="166">
        <v>165266</v>
      </c>
      <c r="G17" s="166">
        <v>174746</v>
      </c>
      <c r="H17" s="166">
        <v>161550</v>
      </c>
      <c r="I17" s="181">
        <f t="shared" si="6"/>
        <v>-7.551531937783984E-2</v>
      </c>
      <c r="J17" s="167">
        <f t="shared" si="2"/>
        <v>0.73320172944672724</v>
      </c>
      <c r="K17" s="166">
        <f t="shared" si="3"/>
        <v>-13196</v>
      </c>
      <c r="L17" s="166">
        <f t="shared" si="4"/>
        <v>68341</v>
      </c>
      <c r="M17" s="167">
        <f t="shared" si="0"/>
        <v>2.9635306868053452E-2</v>
      </c>
      <c r="P17" s="165" t="s">
        <v>126</v>
      </c>
      <c r="Q17" s="166">
        <v>13619</v>
      </c>
      <c r="R17" s="166">
        <v>30677</v>
      </c>
      <c r="S17" s="166">
        <v>57015</v>
      </c>
      <c r="T17" s="166">
        <v>55474</v>
      </c>
      <c r="U17" s="166">
        <v>57898</v>
      </c>
      <c r="V17" s="166">
        <v>53524</v>
      </c>
      <c r="W17" s="181">
        <f t="shared" si="7"/>
        <v>-7.5546651006943244E-2</v>
      </c>
      <c r="X17" s="165">
        <f t="shared" si="5"/>
        <v>-4374</v>
      </c>
      <c r="Y17" s="167">
        <f t="shared" si="1"/>
        <v>3.7651885372927699E-2</v>
      </c>
    </row>
    <row r="18" spans="1:25" x14ac:dyDescent="0.25">
      <c r="A18" s="1"/>
      <c r="B18" s="165" t="s">
        <v>122</v>
      </c>
      <c r="C18" s="166">
        <v>55530</v>
      </c>
      <c r="D18" s="166">
        <v>93337</v>
      </c>
      <c r="E18" s="166">
        <v>146133</v>
      </c>
      <c r="F18" s="166">
        <v>150942</v>
      </c>
      <c r="G18" s="166">
        <v>157476</v>
      </c>
      <c r="H18" s="166">
        <v>148157</v>
      </c>
      <c r="I18" s="181">
        <f t="shared" si="6"/>
        <v>-5.9177271457237945E-2</v>
      </c>
      <c r="J18" s="167">
        <f t="shared" si="2"/>
        <v>0.58733406901871721</v>
      </c>
      <c r="K18" s="166">
        <f t="shared" si="3"/>
        <v>-9319</v>
      </c>
      <c r="L18" s="166">
        <f t="shared" si="4"/>
        <v>54820</v>
      </c>
      <c r="M18" s="167">
        <f t="shared" si="0"/>
        <v>2.7178447289694801E-2</v>
      </c>
      <c r="P18" s="165" t="s">
        <v>122</v>
      </c>
      <c r="Q18" s="166">
        <v>14577</v>
      </c>
      <c r="R18" s="166">
        <v>22807</v>
      </c>
      <c r="S18" s="166">
        <v>38767</v>
      </c>
      <c r="T18" s="166">
        <v>44183</v>
      </c>
      <c r="U18" s="166">
        <v>44633</v>
      </c>
      <c r="V18" s="166">
        <v>41189</v>
      </c>
      <c r="W18" s="181">
        <f t="shared" si="7"/>
        <v>-7.7162637510362342E-2</v>
      </c>
      <c r="X18" s="165">
        <f t="shared" si="5"/>
        <v>-3444</v>
      </c>
      <c r="Y18" s="167">
        <f t="shared" si="1"/>
        <v>2.897473108559747E-2</v>
      </c>
    </row>
    <row r="19" spans="1:25" x14ac:dyDescent="0.25">
      <c r="A19" s="164" t="s">
        <v>147</v>
      </c>
      <c r="B19" s="165" t="s">
        <v>131</v>
      </c>
      <c r="C19" s="166">
        <v>28782</v>
      </c>
      <c r="D19" s="166">
        <v>25400</v>
      </c>
      <c r="E19" s="166">
        <v>62340</v>
      </c>
      <c r="F19" s="166">
        <v>67941</v>
      </c>
      <c r="G19" s="166">
        <v>63693</v>
      </c>
      <c r="H19" s="166">
        <v>62498</v>
      </c>
      <c r="I19" s="181">
        <f t="shared" si="6"/>
        <v>-1.8761873361279879E-2</v>
      </c>
      <c r="J19" s="167">
        <f t="shared" si="2"/>
        <v>1.4605511811023622</v>
      </c>
      <c r="K19" s="166">
        <f t="shared" si="3"/>
        <v>-1195</v>
      </c>
      <c r="L19" s="166">
        <f t="shared" si="4"/>
        <v>37098</v>
      </c>
      <c r="M19" s="167">
        <f t="shared" si="0"/>
        <v>1.1464855516184492E-2</v>
      </c>
      <c r="P19" s="165" t="s">
        <v>131</v>
      </c>
      <c r="Q19" s="166">
        <v>9714</v>
      </c>
      <c r="R19" s="166">
        <v>10533</v>
      </c>
      <c r="S19" s="166">
        <v>22457</v>
      </c>
      <c r="T19" s="166">
        <v>23504</v>
      </c>
      <c r="U19" s="166">
        <v>22219</v>
      </c>
      <c r="V19" s="166">
        <v>22481</v>
      </c>
      <c r="W19" s="181">
        <f t="shared" si="7"/>
        <v>1.1791709797920769E-2</v>
      </c>
      <c r="X19" s="165">
        <f t="shared" si="5"/>
        <v>262</v>
      </c>
      <c r="Y19" s="167">
        <f t="shared" si="1"/>
        <v>1.5814439037978995E-2</v>
      </c>
    </row>
    <row r="20" spans="1:25" x14ac:dyDescent="0.25">
      <c r="A20" s="169" t="s">
        <v>148</v>
      </c>
      <c r="B20" s="165" t="s">
        <v>134</v>
      </c>
      <c r="C20" s="166">
        <v>42711</v>
      </c>
      <c r="D20" s="166">
        <v>22147</v>
      </c>
      <c r="E20" s="166">
        <v>56752</v>
      </c>
      <c r="F20" s="166">
        <v>70961</v>
      </c>
      <c r="G20" s="166">
        <v>68906</v>
      </c>
      <c r="H20" s="166">
        <v>58343</v>
      </c>
      <c r="I20" s="181">
        <f t="shared" si="6"/>
        <v>-0.15329579427045537</v>
      </c>
      <c r="J20" s="167">
        <f t="shared" si="2"/>
        <v>1.6343522824761818</v>
      </c>
      <c r="K20" s="166">
        <f t="shared" si="3"/>
        <v>-10563</v>
      </c>
      <c r="L20" s="166">
        <f t="shared" si="4"/>
        <v>36196</v>
      </c>
      <c r="M20" s="167">
        <f t="shared" si="0"/>
        <v>1.0702647530813014E-2</v>
      </c>
      <c r="P20" s="165" t="s">
        <v>134</v>
      </c>
      <c r="Q20" s="166">
        <v>16718</v>
      </c>
      <c r="R20" s="166">
        <v>10472</v>
      </c>
      <c r="S20" s="166">
        <v>22560</v>
      </c>
      <c r="T20" s="166">
        <v>26526</v>
      </c>
      <c r="U20" s="166">
        <v>24735</v>
      </c>
      <c r="V20" s="166">
        <v>20288</v>
      </c>
      <c r="W20" s="181">
        <f t="shared" si="7"/>
        <v>-0.17978572872447951</v>
      </c>
      <c r="X20" s="165">
        <f t="shared" si="5"/>
        <v>-4447</v>
      </c>
      <c r="Y20" s="167">
        <f t="shared" si="1"/>
        <v>1.4271755669343793E-2</v>
      </c>
    </row>
    <row r="21" spans="1:25" x14ac:dyDescent="0.25">
      <c r="B21" s="170" t="s">
        <v>148</v>
      </c>
      <c r="C21" s="171">
        <f t="shared" ref="C21" si="8">C13-SUM(C14:C20)</f>
        <v>307979</v>
      </c>
      <c r="D21" s="171">
        <f t="shared" ref="D21:E21" si="9">D13-SUM(D14:D20)</f>
        <v>504396</v>
      </c>
      <c r="E21" s="171">
        <f t="shared" si="9"/>
        <v>1000652</v>
      </c>
      <c r="F21" s="171">
        <f t="shared" ref="F21:H21" si="10">F13-SUM(F14:F20)</f>
        <v>1103326</v>
      </c>
      <c r="G21" s="171">
        <f t="shared" si="10"/>
        <v>1205539</v>
      </c>
      <c r="H21" s="171">
        <f t="shared" si="10"/>
        <v>1228300</v>
      </c>
      <c r="I21" s="182">
        <f t="shared" si="6"/>
        <v>1.8880351444457544E-2</v>
      </c>
      <c r="J21" s="172">
        <f t="shared" si="2"/>
        <v>1.4351898111801047</v>
      </c>
      <c r="K21" s="171">
        <f>H21-G21</f>
        <v>22761</v>
      </c>
      <c r="L21" s="171">
        <f t="shared" si="4"/>
        <v>723904</v>
      </c>
      <c r="M21" s="172">
        <f t="shared" si="0"/>
        <v>0.22532372284760169</v>
      </c>
      <c r="P21" s="170" t="s">
        <v>148</v>
      </c>
      <c r="Q21" s="171">
        <f t="shared" ref="Q21:V21" si="11">Q13-SUM(Q14:Q20)</f>
        <v>88913</v>
      </c>
      <c r="R21" s="171">
        <f t="shared" si="11"/>
        <v>149930</v>
      </c>
      <c r="S21" s="171">
        <f t="shared" si="11"/>
        <v>330580</v>
      </c>
      <c r="T21" s="171">
        <f t="shared" si="11"/>
        <v>342519</v>
      </c>
      <c r="U21" s="171">
        <f t="shared" si="11"/>
        <v>366428</v>
      </c>
      <c r="V21" s="171">
        <f t="shared" si="11"/>
        <v>395843</v>
      </c>
      <c r="W21" s="182">
        <f t="shared" si="7"/>
        <v>8.0274978986321965E-2</v>
      </c>
      <c r="X21" s="170">
        <f>V21-U21</f>
        <v>29415</v>
      </c>
      <c r="Y21" s="172">
        <f t="shared" si="1"/>
        <v>0.27845892051557841</v>
      </c>
    </row>
    <row r="22" spans="1:25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6"/>
      <c r="L22" s="155"/>
      <c r="M22" s="155"/>
    </row>
    <row r="23" spans="1:25" x14ac:dyDescent="0.25">
      <c r="B23" s="158" t="s">
        <v>71</v>
      </c>
      <c r="C23" s="178">
        <v>514095</v>
      </c>
      <c r="D23" s="178">
        <v>881045</v>
      </c>
      <c r="E23" s="178">
        <v>1757049</v>
      </c>
      <c r="F23" s="178">
        <v>1888751</v>
      </c>
      <c r="G23" s="178">
        <v>1938929</v>
      </c>
      <c r="H23" s="178">
        <v>1858237</v>
      </c>
      <c r="I23" s="179">
        <f>IFERROR(H23/G23-1,"-")</f>
        <v>-4.1616789475014349E-2</v>
      </c>
      <c r="J23" s="179">
        <f>IFERROR(H23/D23-1,"-")</f>
        <v>1.1091283646124772</v>
      </c>
      <c r="K23" s="178">
        <f>H23-G23</f>
        <v>-80692</v>
      </c>
      <c r="L23" s="178">
        <f>H23-D23</f>
        <v>977192</v>
      </c>
      <c r="M23" s="179">
        <f t="shared" ref="M23:M35" si="12">H23/H$9</f>
        <v>0.34088160772869724</v>
      </c>
    </row>
    <row r="24" spans="1:25" x14ac:dyDescent="0.25">
      <c r="B24" s="161" t="s">
        <v>100</v>
      </c>
      <c r="C24" s="162">
        <v>101575</v>
      </c>
      <c r="D24" s="162">
        <v>247584</v>
      </c>
      <c r="E24" s="162">
        <v>207208</v>
      </c>
      <c r="F24" s="162">
        <v>181700</v>
      </c>
      <c r="G24" s="162">
        <v>161848</v>
      </c>
      <c r="H24" s="162">
        <v>147955</v>
      </c>
      <c r="I24" s="180">
        <f>IFERROR(H24/G24-1,"-")</f>
        <v>-8.5839800306460434E-2</v>
      </c>
      <c r="J24" s="163">
        <f t="shared" ref="J24:J35" si="13">IFERROR(H24/D24-1,"-")</f>
        <v>-0.40240484037740731</v>
      </c>
      <c r="K24" s="162">
        <f t="shared" ref="K24:K34" si="14">H24-G24</f>
        <v>-13893</v>
      </c>
      <c r="L24" s="162">
        <f t="shared" ref="L24:L35" si="15">H24-D24</f>
        <v>-99629</v>
      </c>
      <c r="M24" s="163">
        <f t="shared" si="12"/>
        <v>2.7141391690887331E-2</v>
      </c>
    </row>
    <row r="25" spans="1:25" x14ac:dyDescent="0.25">
      <c r="B25" s="165" t="s">
        <v>12</v>
      </c>
      <c r="C25" s="166">
        <v>58508</v>
      </c>
      <c r="D25" s="166">
        <v>126666</v>
      </c>
      <c r="E25" s="166">
        <v>86811</v>
      </c>
      <c r="F25" s="166">
        <v>75361</v>
      </c>
      <c r="G25" s="166">
        <v>60679</v>
      </c>
      <c r="H25" s="166">
        <v>67419</v>
      </c>
      <c r="I25" s="181">
        <f>IFERROR(H25/G25-1,"-")</f>
        <v>0.11107631964930209</v>
      </c>
      <c r="J25" s="167">
        <f t="shared" si="13"/>
        <v>-0.467741935483871</v>
      </c>
      <c r="K25" s="166">
        <f t="shared" si="14"/>
        <v>6740</v>
      </c>
      <c r="L25" s="166">
        <f t="shared" si="15"/>
        <v>-59247</v>
      </c>
      <c r="M25" s="167">
        <f t="shared" si="12"/>
        <v>1.236758126733083E-2</v>
      </c>
    </row>
    <row r="26" spans="1:25" x14ac:dyDescent="0.25">
      <c r="B26" s="165" t="s">
        <v>103</v>
      </c>
      <c r="C26" s="166">
        <v>43067</v>
      </c>
      <c r="D26" s="166">
        <v>120918</v>
      </c>
      <c r="E26" s="166">
        <v>120397</v>
      </c>
      <c r="F26" s="166">
        <v>106339</v>
      </c>
      <c r="G26" s="166">
        <v>101169</v>
      </c>
      <c r="H26" s="166">
        <v>80536</v>
      </c>
      <c r="I26" s="181">
        <f>IFERROR(H26/G26-1,"-")</f>
        <v>-0.2039458727475808</v>
      </c>
      <c r="J26" s="167">
        <f t="shared" si="13"/>
        <v>-0.33396185844952775</v>
      </c>
      <c r="K26" s="166">
        <f t="shared" si="14"/>
        <v>-20633</v>
      </c>
      <c r="L26" s="166">
        <f t="shared" si="15"/>
        <v>-40382</v>
      </c>
      <c r="M26" s="167">
        <f t="shared" si="12"/>
        <v>1.4773810423556501E-2</v>
      </c>
    </row>
    <row r="27" spans="1:25" x14ac:dyDescent="0.25">
      <c r="B27" s="161" t="s">
        <v>110</v>
      </c>
      <c r="C27" s="162">
        <v>412520</v>
      </c>
      <c r="D27" s="162">
        <v>633461</v>
      </c>
      <c r="E27" s="162">
        <v>1549841</v>
      </c>
      <c r="F27" s="162">
        <v>1707051</v>
      </c>
      <c r="G27" s="162">
        <v>1777081</v>
      </c>
      <c r="H27" s="162">
        <v>1710282</v>
      </c>
      <c r="I27" s="180">
        <f>IFERROR(H27/G27-1,"-")</f>
        <v>-3.7589170105358116E-2</v>
      </c>
      <c r="J27" s="163">
        <f t="shared" si="13"/>
        <v>1.6999010199522937</v>
      </c>
      <c r="K27" s="162">
        <f t="shared" si="14"/>
        <v>-66799</v>
      </c>
      <c r="L27" s="162">
        <f t="shared" si="15"/>
        <v>1076821</v>
      </c>
      <c r="M27" s="163">
        <f t="shared" si="12"/>
        <v>0.31374021603780994</v>
      </c>
    </row>
    <row r="28" spans="1:25" x14ac:dyDescent="0.25">
      <c r="B28" s="165" t="s">
        <v>113</v>
      </c>
      <c r="C28" s="166">
        <v>180448</v>
      </c>
      <c r="D28" s="166">
        <v>208305</v>
      </c>
      <c r="E28" s="166">
        <v>783677</v>
      </c>
      <c r="F28" s="166">
        <v>883804</v>
      </c>
      <c r="G28" s="166">
        <v>930359</v>
      </c>
      <c r="H28" s="166">
        <v>904858</v>
      </c>
      <c r="I28" s="181">
        <f t="shared" ref="I28:I35" si="16">IFERROR(H28/G28-1,"-")</f>
        <v>-2.7409849316231694E-2</v>
      </c>
      <c r="J28" s="167">
        <f t="shared" si="13"/>
        <v>3.3439091716473444</v>
      </c>
      <c r="K28" s="166">
        <f t="shared" si="14"/>
        <v>-25501</v>
      </c>
      <c r="L28" s="166">
        <f t="shared" si="15"/>
        <v>696553</v>
      </c>
      <c r="M28" s="167">
        <f t="shared" si="12"/>
        <v>0.16599037141450393</v>
      </c>
    </row>
    <row r="29" spans="1:25" x14ac:dyDescent="0.25">
      <c r="B29" s="165" t="s">
        <v>116</v>
      </c>
      <c r="C29" s="166">
        <v>52415</v>
      </c>
      <c r="D29" s="166">
        <v>103865</v>
      </c>
      <c r="E29" s="166">
        <v>169299</v>
      </c>
      <c r="F29" s="166">
        <v>182561</v>
      </c>
      <c r="G29" s="166">
        <v>183463</v>
      </c>
      <c r="H29" s="166">
        <v>171611</v>
      </c>
      <c r="I29" s="181">
        <f t="shared" si="16"/>
        <v>-6.4601581790333706E-2</v>
      </c>
      <c r="J29" s="167">
        <f t="shared" si="13"/>
        <v>0.65225051749867613</v>
      </c>
      <c r="K29" s="166">
        <f t="shared" si="14"/>
        <v>-11852</v>
      </c>
      <c r="L29" s="166">
        <f t="shared" si="15"/>
        <v>67746</v>
      </c>
      <c r="M29" s="167">
        <f t="shared" si="12"/>
        <v>3.14809325096473E-2</v>
      </c>
    </row>
    <row r="30" spans="1:25" x14ac:dyDescent="0.25">
      <c r="B30" s="165" t="s">
        <v>119</v>
      </c>
      <c r="C30" s="166">
        <v>19791</v>
      </c>
      <c r="D30" s="166">
        <v>42447</v>
      </c>
      <c r="E30" s="166">
        <v>63176</v>
      </c>
      <c r="F30" s="166">
        <v>65408</v>
      </c>
      <c r="G30" s="166">
        <v>57978</v>
      </c>
      <c r="H30" s="166">
        <v>51981</v>
      </c>
      <c r="I30" s="181">
        <f t="shared" si="16"/>
        <v>-0.10343578598778846</v>
      </c>
      <c r="J30" s="167">
        <f t="shared" si="13"/>
        <v>0.22460951303979071</v>
      </c>
      <c r="K30" s="166">
        <f t="shared" si="14"/>
        <v>-5997</v>
      </c>
      <c r="L30" s="166">
        <f t="shared" si="15"/>
        <v>9534</v>
      </c>
      <c r="M30" s="167">
        <f t="shared" si="12"/>
        <v>9.5355796119361586E-3</v>
      </c>
    </row>
    <row r="31" spans="1:25" x14ac:dyDescent="0.25">
      <c r="B31" s="165" t="s">
        <v>126</v>
      </c>
      <c r="C31" s="166">
        <v>16156</v>
      </c>
      <c r="D31" s="166">
        <v>41550</v>
      </c>
      <c r="E31" s="166">
        <v>75901</v>
      </c>
      <c r="F31" s="166">
        <v>70876</v>
      </c>
      <c r="G31" s="166">
        <v>71598</v>
      </c>
      <c r="H31" s="166">
        <v>66696</v>
      </c>
      <c r="I31" s="181">
        <f t="shared" si="16"/>
        <v>-6.8465599597754112E-2</v>
      </c>
      <c r="J31" s="167">
        <f t="shared" si="13"/>
        <v>0.6051985559566786</v>
      </c>
      <c r="K31" s="166">
        <f t="shared" si="14"/>
        <v>-4902</v>
      </c>
      <c r="L31" s="166">
        <f t="shared" si="15"/>
        <v>25146</v>
      </c>
      <c r="M31" s="167">
        <f t="shared" si="12"/>
        <v>1.223495157456944E-2</v>
      </c>
    </row>
    <row r="32" spans="1:25" x14ac:dyDescent="0.25">
      <c r="B32" s="165" t="s">
        <v>122</v>
      </c>
      <c r="C32" s="166">
        <v>26662</v>
      </c>
      <c r="D32" s="166">
        <v>51893</v>
      </c>
      <c r="E32" s="166">
        <v>82793</v>
      </c>
      <c r="F32" s="166">
        <v>80269</v>
      </c>
      <c r="G32" s="166">
        <v>81717</v>
      </c>
      <c r="H32" s="166">
        <v>77883</v>
      </c>
      <c r="I32" s="181">
        <f t="shared" si="16"/>
        <v>-4.6918021953816225E-2</v>
      </c>
      <c r="J32" s="167">
        <f t="shared" si="13"/>
        <v>0.5008382633495847</v>
      </c>
      <c r="K32" s="166">
        <f t="shared" si="14"/>
        <v>-3834</v>
      </c>
      <c r="L32" s="166">
        <f t="shared" si="15"/>
        <v>25990</v>
      </c>
      <c r="M32" s="167">
        <f t="shared" si="12"/>
        <v>1.4287134662981163E-2</v>
      </c>
    </row>
    <row r="33" spans="2:13" x14ac:dyDescent="0.25">
      <c r="B33" s="165" t="s">
        <v>131</v>
      </c>
      <c r="C33" s="166">
        <v>11576</v>
      </c>
      <c r="D33" s="166">
        <v>7603</v>
      </c>
      <c r="E33" s="166">
        <v>22864</v>
      </c>
      <c r="F33" s="166">
        <v>24584</v>
      </c>
      <c r="G33" s="166">
        <v>24160</v>
      </c>
      <c r="H33" s="166">
        <v>23072</v>
      </c>
      <c r="I33" s="181">
        <f t="shared" si="16"/>
        <v>-4.503311258278142E-2</v>
      </c>
      <c r="J33" s="167">
        <f t="shared" si="13"/>
        <v>2.0345916085755622</v>
      </c>
      <c r="K33" s="166">
        <f t="shared" si="14"/>
        <v>-1088</v>
      </c>
      <c r="L33" s="166">
        <f t="shared" si="15"/>
        <v>15469</v>
      </c>
      <c r="M33" s="167">
        <f t="shared" si="12"/>
        <v>4.2324097806235176E-3</v>
      </c>
    </row>
    <row r="34" spans="2:13" x14ac:dyDescent="0.25">
      <c r="B34" s="165" t="s">
        <v>134</v>
      </c>
      <c r="C34" s="166">
        <v>13347</v>
      </c>
      <c r="D34" s="166">
        <v>5465</v>
      </c>
      <c r="E34" s="166">
        <v>19705</v>
      </c>
      <c r="F34" s="166">
        <v>25664</v>
      </c>
      <c r="G34" s="166">
        <v>23273</v>
      </c>
      <c r="H34" s="166">
        <v>20293</v>
      </c>
      <c r="I34" s="181">
        <f t="shared" si="16"/>
        <v>-0.12804537446826791</v>
      </c>
      <c r="J34" s="167">
        <f t="shared" si="13"/>
        <v>2.7132662397072278</v>
      </c>
      <c r="K34" s="166">
        <f t="shared" si="14"/>
        <v>-2980</v>
      </c>
      <c r="L34" s="166">
        <f t="shared" si="15"/>
        <v>14828</v>
      </c>
      <c r="M34" s="167">
        <f t="shared" si="12"/>
        <v>3.7226201316831239E-3</v>
      </c>
    </row>
    <row r="35" spans="2:13" x14ac:dyDescent="0.25">
      <c r="B35" s="170" t="s">
        <v>148</v>
      </c>
      <c r="C35" s="171">
        <f t="shared" ref="C35" si="17">C27-SUM(C28:C34)</f>
        <v>92125</v>
      </c>
      <c r="D35" s="171">
        <f t="shared" ref="D35:E35" si="18">D27-SUM(D28:D34)</f>
        <v>172333</v>
      </c>
      <c r="E35" s="171">
        <f t="shared" si="18"/>
        <v>332426</v>
      </c>
      <c r="F35" s="171">
        <f t="shared" ref="F35:H35" si="19">F27-SUM(F28:F34)</f>
        <v>373885</v>
      </c>
      <c r="G35" s="171">
        <f t="shared" si="19"/>
        <v>404533</v>
      </c>
      <c r="H35" s="171">
        <f t="shared" si="19"/>
        <v>393888</v>
      </c>
      <c r="I35" s="182">
        <f t="shared" si="16"/>
        <v>-2.6314293271500699E-2</v>
      </c>
      <c r="J35" s="172">
        <f t="shared" si="13"/>
        <v>1.2856214422078187</v>
      </c>
      <c r="K35" s="171">
        <f>H35-G35</f>
        <v>-10645</v>
      </c>
      <c r="L35" s="171">
        <f t="shared" si="15"/>
        <v>221555</v>
      </c>
      <c r="M35" s="172">
        <f t="shared" si="12"/>
        <v>7.2256216351865285E-2</v>
      </c>
    </row>
    <row r="36" spans="2:13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6"/>
      <c r="L36" s="155"/>
      <c r="M36" s="155"/>
    </row>
    <row r="37" spans="2:13" x14ac:dyDescent="0.25">
      <c r="B37" s="158" t="s">
        <v>71</v>
      </c>
      <c r="C37" s="178">
        <v>353830</v>
      </c>
      <c r="D37" s="178">
        <v>492258</v>
      </c>
      <c r="E37" s="178">
        <v>1243535</v>
      </c>
      <c r="F37" s="178">
        <v>1320376</v>
      </c>
      <c r="G37" s="178">
        <v>1387795</v>
      </c>
      <c r="H37" s="178">
        <v>1421549</v>
      </c>
      <c r="I37" s="179">
        <f>IFERROR(H37/G37-1,"-")</f>
        <v>2.4322036035581585E-2</v>
      </c>
      <c r="J37" s="179">
        <f>IFERROR(H37/D37-1,"-")</f>
        <v>1.8878128948640756</v>
      </c>
      <c r="K37" s="178">
        <f>H37-G37</f>
        <v>33754</v>
      </c>
      <c r="L37" s="178">
        <f>H37-D37</f>
        <v>929291</v>
      </c>
      <c r="M37" s="179">
        <f t="shared" ref="M37:M49" si="20">H37/H$9</f>
        <v>0.26077400707505116</v>
      </c>
    </row>
    <row r="38" spans="2:13" x14ac:dyDescent="0.25">
      <c r="B38" s="161" t="s">
        <v>100</v>
      </c>
      <c r="C38" s="162">
        <v>46908</v>
      </c>
      <c r="D38" s="162">
        <v>83468</v>
      </c>
      <c r="E38" s="162">
        <v>123951</v>
      </c>
      <c r="F38" s="162">
        <v>119487</v>
      </c>
      <c r="G38" s="162">
        <v>114632</v>
      </c>
      <c r="H38" s="162">
        <v>118257</v>
      </c>
      <c r="I38" s="180">
        <f>IFERROR(H38/G38-1,"-")</f>
        <v>3.1622932514481228E-2</v>
      </c>
      <c r="J38" s="163">
        <f t="shared" ref="J38:J49" si="21">IFERROR(H38/D38-1,"-")</f>
        <v>0.41679446015239363</v>
      </c>
      <c r="K38" s="162">
        <f t="shared" ref="K38:K48" si="22">H38-G38</f>
        <v>3625</v>
      </c>
      <c r="L38" s="162">
        <f t="shared" ref="L38:L49" si="23">H38-D38</f>
        <v>34789</v>
      </c>
      <c r="M38" s="163">
        <f t="shared" si="20"/>
        <v>2.1693484891955411E-2</v>
      </c>
    </row>
    <row r="39" spans="2:13" x14ac:dyDescent="0.25">
      <c r="B39" s="165" t="s">
        <v>106</v>
      </c>
      <c r="C39" s="166">
        <v>23289</v>
      </c>
      <c r="D39" s="166">
        <v>43482</v>
      </c>
      <c r="E39" s="166">
        <v>48094</v>
      </c>
      <c r="F39" s="166">
        <v>52610</v>
      </c>
      <c r="G39" s="166">
        <v>50222</v>
      </c>
      <c r="H39" s="166">
        <v>51408</v>
      </c>
      <c r="I39" s="181">
        <f>IFERROR(H39/G39-1,"-")</f>
        <v>2.3615148739596137E-2</v>
      </c>
      <c r="J39" s="167">
        <f t="shared" si="21"/>
        <v>0.18228232372016007</v>
      </c>
      <c r="K39" s="166">
        <f t="shared" si="22"/>
        <v>1186</v>
      </c>
      <c r="L39" s="166">
        <f t="shared" si="23"/>
        <v>7926</v>
      </c>
      <c r="M39" s="167">
        <f t="shared" si="20"/>
        <v>9.4304664529426922E-3</v>
      </c>
    </row>
    <row r="40" spans="2:13" x14ac:dyDescent="0.25">
      <c r="B40" s="165" t="s">
        <v>103</v>
      </c>
      <c r="C40" s="166">
        <v>23619</v>
      </c>
      <c r="D40" s="166">
        <v>39986</v>
      </c>
      <c r="E40" s="166">
        <v>75857</v>
      </c>
      <c r="F40" s="166">
        <v>66877</v>
      </c>
      <c r="G40" s="166">
        <v>64410</v>
      </c>
      <c r="H40" s="166">
        <v>66849</v>
      </c>
      <c r="I40" s="181">
        <f>IFERROR(H40/G40-1,"-")</f>
        <v>3.7866790870982658E-2</v>
      </c>
      <c r="J40" s="167">
        <f t="shared" si="21"/>
        <v>0.67181013354674146</v>
      </c>
      <c r="K40" s="166">
        <f t="shared" si="22"/>
        <v>2439</v>
      </c>
      <c r="L40" s="166">
        <f t="shared" si="23"/>
        <v>26863</v>
      </c>
      <c r="M40" s="167">
        <f t="shared" si="20"/>
        <v>1.2263018439012721E-2</v>
      </c>
    </row>
    <row r="41" spans="2:13" x14ac:dyDescent="0.25">
      <c r="B41" s="161" t="s">
        <v>110</v>
      </c>
      <c r="C41" s="162">
        <v>306922</v>
      </c>
      <c r="D41" s="162">
        <v>408790</v>
      </c>
      <c r="E41" s="162">
        <v>1119584</v>
      </c>
      <c r="F41" s="162">
        <v>1200889</v>
      </c>
      <c r="G41" s="162">
        <v>1273163</v>
      </c>
      <c r="H41" s="162">
        <v>1303292</v>
      </c>
      <c r="I41" s="180">
        <f>IFERROR(H41/G41-1,"-")</f>
        <v>2.3664683940705089E-2</v>
      </c>
      <c r="J41" s="163">
        <f t="shared" si="21"/>
        <v>2.1881699650187136</v>
      </c>
      <c r="K41" s="162">
        <f t="shared" si="22"/>
        <v>30129</v>
      </c>
      <c r="L41" s="162">
        <f t="shared" si="23"/>
        <v>894502</v>
      </c>
      <c r="M41" s="163">
        <f t="shared" si="20"/>
        <v>0.23908052218309575</v>
      </c>
    </row>
    <row r="42" spans="2:13" x14ac:dyDescent="0.25">
      <c r="B42" s="165" t="s">
        <v>113</v>
      </c>
      <c r="C42" s="166">
        <v>138827</v>
      </c>
      <c r="D42" s="166">
        <v>142606</v>
      </c>
      <c r="E42" s="166">
        <v>581865</v>
      </c>
      <c r="F42" s="166">
        <v>634686</v>
      </c>
      <c r="G42" s="166">
        <v>683651</v>
      </c>
      <c r="H42" s="166">
        <v>687259</v>
      </c>
      <c r="I42" s="181">
        <f t="shared" ref="I42:I49" si="24">IFERROR(H42/G42-1,"-")</f>
        <v>5.2775465844414615E-3</v>
      </c>
      <c r="J42" s="167">
        <f t="shared" si="21"/>
        <v>3.8192853035636647</v>
      </c>
      <c r="K42" s="166">
        <f t="shared" si="22"/>
        <v>3608</v>
      </c>
      <c r="L42" s="166">
        <f t="shared" si="23"/>
        <v>544653</v>
      </c>
      <c r="M42" s="167">
        <f t="shared" si="20"/>
        <v>0.12607323653872823</v>
      </c>
    </row>
    <row r="43" spans="2:13" x14ac:dyDescent="0.25">
      <c r="B43" s="165" t="s">
        <v>116</v>
      </c>
      <c r="C43" s="166">
        <v>15137</v>
      </c>
      <c r="D43" s="166">
        <v>21846</v>
      </c>
      <c r="E43" s="166">
        <v>39072</v>
      </c>
      <c r="F43" s="166">
        <v>45119</v>
      </c>
      <c r="G43" s="166">
        <v>44501</v>
      </c>
      <c r="H43" s="166">
        <v>50301</v>
      </c>
      <c r="I43" s="181">
        <f t="shared" si="24"/>
        <v>0.13033414979438662</v>
      </c>
      <c r="J43" s="167">
        <f t="shared" si="21"/>
        <v>1.3025267783575942</v>
      </c>
      <c r="K43" s="166">
        <f t="shared" si="22"/>
        <v>5800</v>
      </c>
      <c r="L43" s="166">
        <f t="shared" si="23"/>
        <v>28455</v>
      </c>
      <c r="M43" s="167">
        <f t="shared" si="20"/>
        <v>9.2273944337354172E-3</v>
      </c>
    </row>
    <row r="44" spans="2:13" x14ac:dyDescent="0.25">
      <c r="B44" s="165" t="s">
        <v>119</v>
      </c>
      <c r="C44" s="166">
        <v>9417</v>
      </c>
      <c r="D44" s="166">
        <v>19919</v>
      </c>
      <c r="E44" s="166">
        <v>27268</v>
      </c>
      <c r="F44" s="166">
        <v>28878</v>
      </c>
      <c r="G44" s="166">
        <v>29098</v>
      </c>
      <c r="H44" s="166">
        <v>32407</v>
      </c>
      <c r="I44" s="181">
        <f t="shared" si="24"/>
        <v>0.11371915595573578</v>
      </c>
      <c r="J44" s="167">
        <f t="shared" si="21"/>
        <v>0.62693910336864311</v>
      </c>
      <c r="K44" s="166">
        <f t="shared" si="22"/>
        <v>3309</v>
      </c>
      <c r="L44" s="166">
        <f t="shared" si="23"/>
        <v>12488</v>
      </c>
      <c r="M44" s="167">
        <f t="shared" si="20"/>
        <v>5.9448553987806142E-3</v>
      </c>
    </row>
    <row r="45" spans="2:13" x14ac:dyDescent="0.25">
      <c r="B45" s="165" t="s">
        <v>126</v>
      </c>
      <c r="C45" s="166">
        <v>13619</v>
      </c>
      <c r="D45" s="166">
        <v>30677</v>
      </c>
      <c r="E45" s="166">
        <v>57015</v>
      </c>
      <c r="F45" s="166">
        <v>55474</v>
      </c>
      <c r="G45" s="166">
        <v>57898</v>
      </c>
      <c r="H45" s="166">
        <v>53524</v>
      </c>
      <c r="I45" s="181">
        <f t="shared" si="24"/>
        <v>-7.5546651006943244E-2</v>
      </c>
      <c r="J45" s="167">
        <f t="shared" si="21"/>
        <v>0.74475991785376672</v>
      </c>
      <c r="K45" s="166">
        <f t="shared" si="22"/>
        <v>-4374</v>
      </c>
      <c r="L45" s="166">
        <f t="shared" si="23"/>
        <v>22847</v>
      </c>
      <c r="M45" s="167">
        <f t="shared" si="20"/>
        <v>9.8186330226288643E-3</v>
      </c>
    </row>
    <row r="46" spans="2:13" x14ac:dyDescent="0.25">
      <c r="B46" s="165" t="s">
        <v>122</v>
      </c>
      <c r="C46" s="166">
        <v>14577</v>
      </c>
      <c r="D46" s="166">
        <v>22807</v>
      </c>
      <c r="E46" s="166">
        <v>38767</v>
      </c>
      <c r="F46" s="166">
        <v>44183</v>
      </c>
      <c r="G46" s="166">
        <v>44633</v>
      </c>
      <c r="H46" s="166">
        <v>41189</v>
      </c>
      <c r="I46" s="181">
        <f t="shared" si="24"/>
        <v>-7.7162637510362342E-2</v>
      </c>
      <c r="J46" s="167">
        <f t="shared" si="21"/>
        <v>0.80598061998509229</v>
      </c>
      <c r="K46" s="166">
        <f t="shared" si="22"/>
        <v>-3444</v>
      </c>
      <c r="L46" s="166">
        <f t="shared" si="23"/>
        <v>18382</v>
      </c>
      <c r="M46" s="167">
        <f t="shared" si="20"/>
        <v>7.5558567291132998E-3</v>
      </c>
    </row>
    <row r="47" spans="2:13" x14ac:dyDescent="0.25">
      <c r="B47" s="165" t="s">
        <v>131</v>
      </c>
      <c r="C47" s="166">
        <v>9714</v>
      </c>
      <c r="D47" s="166">
        <v>10533</v>
      </c>
      <c r="E47" s="166">
        <v>22457</v>
      </c>
      <c r="F47" s="166">
        <v>23504</v>
      </c>
      <c r="G47" s="166">
        <v>22219</v>
      </c>
      <c r="H47" s="166">
        <v>22481</v>
      </c>
      <c r="I47" s="181">
        <f t="shared" si="24"/>
        <v>1.1791709797920769E-2</v>
      </c>
      <c r="J47" s="167">
        <f t="shared" si="21"/>
        <v>1.1343396942941233</v>
      </c>
      <c r="K47" s="166">
        <f t="shared" si="22"/>
        <v>262</v>
      </c>
      <c r="L47" s="166">
        <f t="shared" si="23"/>
        <v>11948</v>
      </c>
      <c r="M47" s="167">
        <f t="shared" si="20"/>
        <v>4.1239946375778991E-3</v>
      </c>
    </row>
    <row r="48" spans="2:13" x14ac:dyDescent="0.25">
      <c r="B48" s="165" t="s">
        <v>134</v>
      </c>
      <c r="C48" s="166">
        <v>16718</v>
      </c>
      <c r="D48" s="166">
        <v>10472</v>
      </c>
      <c r="E48" s="166">
        <v>22560</v>
      </c>
      <c r="F48" s="166">
        <v>26526</v>
      </c>
      <c r="G48" s="166">
        <v>24735</v>
      </c>
      <c r="H48" s="166">
        <v>20288</v>
      </c>
      <c r="I48" s="181">
        <f t="shared" si="24"/>
        <v>-0.17978572872447951</v>
      </c>
      <c r="J48" s="167">
        <f t="shared" si="21"/>
        <v>0.93735676088617259</v>
      </c>
      <c r="K48" s="166">
        <f t="shared" si="22"/>
        <v>-4447</v>
      </c>
      <c r="L48" s="166">
        <f t="shared" si="23"/>
        <v>9816</v>
      </c>
      <c r="M48" s="167">
        <f t="shared" si="20"/>
        <v>3.72170291389086E-3</v>
      </c>
    </row>
    <row r="49" spans="2:13" x14ac:dyDescent="0.25">
      <c r="B49" s="170" t="s">
        <v>148</v>
      </c>
      <c r="C49" s="171">
        <f t="shared" ref="C49" si="25">C41-SUM(C42:C48)</f>
        <v>88913</v>
      </c>
      <c r="D49" s="171">
        <f t="shared" ref="D49:E49" si="26">D41-SUM(D42:D48)</f>
        <v>149930</v>
      </c>
      <c r="E49" s="171">
        <f t="shared" si="26"/>
        <v>330580</v>
      </c>
      <c r="F49" s="171">
        <f t="shared" ref="F49:H49" si="27">F41-SUM(F42:F48)</f>
        <v>342519</v>
      </c>
      <c r="G49" s="171">
        <f t="shared" si="27"/>
        <v>366428</v>
      </c>
      <c r="H49" s="171">
        <f t="shared" si="27"/>
        <v>395843</v>
      </c>
      <c r="I49" s="182">
        <f t="shared" si="24"/>
        <v>8.0274978986321965E-2</v>
      </c>
      <c r="J49" s="172">
        <f t="shared" si="21"/>
        <v>1.6401854198626027</v>
      </c>
      <c r="K49" s="171">
        <f>H49-G49</f>
        <v>29415</v>
      </c>
      <c r="L49" s="171">
        <f t="shared" si="23"/>
        <v>245913</v>
      </c>
      <c r="M49" s="172">
        <f t="shared" si="20"/>
        <v>7.2614848508640556E-2</v>
      </c>
    </row>
    <row r="50" spans="2:13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6"/>
      <c r="L50" s="155"/>
      <c r="M50" s="155"/>
    </row>
    <row r="51" spans="2:13" x14ac:dyDescent="0.25">
      <c r="B51" s="158" t="s">
        <v>71</v>
      </c>
      <c r="C51" s="178">
        <v>12549</v>
      </c>
      <c r="D51" s="178">
        <v>20161</v>
      </c>
      <c r="E51" s="178">
        <v>37751</v>
      </c>
      <c r="F51" s="178">
        <v>51211</v>
      </c>
      <c r="G51" s="178">
        <v>45051</v>
      </c>
      <c r="H51" s="178">
        <v>44435</v>
      </c>
      <c r="I51" s="179">
        <f>IFERROR(H51/G51-1,"-")</f>
        <v>-1.3673392377527738E-2</v>
      </c>
      <c r="J51" s="179">
        <f>IFERROR(H51/D51-1,"-")</f>
        <v>1.2040077377114229</v>
      </c>
      <c r="K51" s="178">
        <f>H51-G51</f>
        <v>-616</v>
      </c>
      <c r="L51" s="178">
        <f>H51-D51</f>
        <v>24274</v>
      </c>
      <c r="M51" s="179">
        <f t="shared" ref="M51:M63" si="28">H51/H$9</f>
        <v>8.1513145198511619E-3</v>
      </c>
    </row>
    <row r="52" spans="2:13" x14ac:dyDescent="0.25">
      <c r="B52" s="161" t="s">
        <v>100</v>
      </c>
      <c r="C52" s="162">
        <v>2335</v>
      </c>
      <c r="D52" s="162">
        <v>4950</v>
      </c>
      <c r="E52" s="162">
        <v>6762</v>
      </c>
      <c r="F52" s="162">
        <v>20295</v>
      </c>
      <c r="G52" s="162">
        <v>11990</v>
      </c>
      <c r="H52" s="162">
        <v>10059</v>
      </c>
      <c r="I52" s="180">
        <f>IFERROR(H52/G52-1,"-")</f>
        <v>-0.16105087572977483</v>
      </c>
      <c r="J52" s="163">
        <f t="shared" ref="J52:J63" si="29">IFERROR(H52/D52-1,"-")</f>
        <v>1.0321212121212122</v>
      </c>
      <c r="K52" s="162">
        <f t="shared" ref="K52:K62" si="30">H52-G52</f>
        <v>-1931</v>
      </c>
      <c r="L52" s="162">
        <f t="shared" ref="L52:L63" si="31">H52-D52</f>
        <v>5109</v>
      </c>
      <c r="M52" s="163">
        <f t="shared" si="28"/>
        <v>1.8452587544769401E-3</v>
      </c>
    </row>
    <row r="53" spans="2:13" x14ac:dyDescent="0.25">
      <c r="B53" s="165" t="s">
        <v>106</v>
      </c>
      <c r="C53" s="166">
        <v>1654</v>
      </c>
      <c r="D53" s="166">
        <v>2415</v>
      </c>
      <c r="E53" s="166">
        <v>3515</v>
      </c>
      <c r="F53" s="166">
        <v>14856</v>
      </c>
      <c r="G53" s="166">
        <v>7765</v>
      </c>
      <c r="H53" s="166">
        <v>5908</v>
      </c>
      <c r="I53" s="181">
        <f>IFERROR(H53/G53-1,"-")</f>
        <v>-0.23915003219575015</v>
      </c>
      <c r="J53" s="167">
        <f t="shared" si="29"/>
        <v>1.4463768115942028</v>
      </c>
      <c r="K53" s="166">
        <f t="shared" si="30"/>
        <v>-1857</v>
      </c>
      <c r="L53" s="166">
        <f t="shared" si="31"/>
        <v>3493</v>
      </c>
      <c r="M53" s="167">
        <f t="shared" si="28"/>
        <v>1.0837845433392744E-3</v>
      </c>
    </row>
    <row r="54" spans="2:13" x14ac:dyDescent="0.25">
      <c r="B54" s="165" t="s">
        <v>103</v>
      </c>
      <c r="C54" s="166">
        <v>681</v>
      </c>
      <c r="D54" s="166">
        <v>2535</v>
      </c>
      <c r="E54" s="166">
        <v>3247</v>
      </c>
      <c r="F54" s="166">
        <v>5439</v>
      </c>
      <c r="G54" s="166">
        <v>4225</v>
      </c>
      <c r="H54" s="166">
        <v>4151</v>
      </c>
      <c r="I54" s="181">
        <f>IFERROR(H54/G54-1,"-")</f>
        <v>-1.7514792899408271E-2</v>
      </c>
      <c r="J54" s="167">
        <f t="shared" si="29"/>
        <v>0.63747534516765292</v>
      </c>
      <c r="K54" s="166">
        <f t="shared" si="30"/>
        <v>-74</v>
      </c>
      <c r="L54" s="166">
        <f t="shared" si="31"/>
        <v>1616</v>
      </c>
      <c r="M54" s="167">
        <f t="shared" si="28"/>
        <v>7.6147421113766556E-4</v>
      </c>
    </row>
    <row r="55" spans="2:13" x14ac:dyDescent="0.25">
      <c r="B55" s="161" t="s">
        <v>110</v>
      </c>
      <c r="C55" s="162">
        <v>10214</v>
      </c>
      <c r="D55" s="162">
        <v>15211</v>
      </c>
      <c r="E55" s="162">
        <v>30989</v>
      </c>
      <c r="F55" s="162">
        <v>30916</v>
      </c>
      <c r="G55" s="162">
        <v>33061</v>
      </c>
      <c r="H55" s="162">
        <v>34376</v>
      </c>
      <c r="I55" s="180">
        <f>IFERROR(H55/G55-1,"-")</f>
        <v>3.9774961434923428E-2</v>
      </c>
      <c r="J55" s="163">
        <f t="shared" si="29"/>
        <v>1.2599434619683123</v>
      </c>
      <c r="K55" s="162">
        <f t="shared" si="30"/>
        <v>1315</v>
      </c>
      <c r="L55" s="162">
        <f t="shared" si="31"/>
        <v>19165</v>
      </c>
      <c r="M55" s="163">
        <f t="shared" si="28"/>
        <v>6.3060557653742211E-3</v>
      </c>
    </row>
    <row r="56" spans="2:13" x14ac:dyDescent="0.25">
      <c r="B56" s="165" t="s">
        <v>113</v>
      </c>
      <c r="C56" s="166">
        <v>3043</v>
      </c>
      <c r="D56" s="166">
        <v>3030</v>
      </c>
      <c r="E56" s="166">
        <v>10352</v>
      </c>
      <c r="F56" s="166">
        <v>9308</v>
      </c>
      <c r="G56" s="166">
        <v>11059</v>
      </c>
      <c r="H56" s="166">
        <v>11732</v>
      </c>
      <c r="I56" s="181">
        <f t="shared" ref="I56:I63" si="32">IFERROR(H56/G56-1,"-")</f>
        <v>6.0855411881725274E-2</v>
      </c>
      <c r="J56" s="167">
        <f t="shared" si="29"/>
        <v>2.8719471947194721</v>
      </c>
      <c r="K56" s="166">
        <f t="shared" si="30"/>
        <v>673</v>
      </c>
      <c r="L56" s="166">
        <f t="shared" si="31"/>
        <v>8702</v>
      </c>
      <c r="M56" s="167">
        <f t="shared" si="28"/>
        <v>2.152159827768512E-3</v>
      </c>
    </row>
    <row r="57" spans="2:13" x14ac:dyDescent="0.25">
      <c r="B57" s="165" t="s">
        <v>116</v>
      </c>
      <c r="C57" s="166">
        <v>2862</v>
      </c>
      <c r="D57" s="166">
        <v>5150</v>
      </c>
      <c r="E57" s="166">
        <v>6811</v>
      </c>
      <c r="F57" s="166">
        <v>6211</v>
      </c>
      <c r="G57" s="166">
        <v>6329</v>
      </c>
      <c r="H57" s="166">
        <v>6972</v>
      </c>
      <c r="I57" s="181">
        <f t="shared" si="32"/>
        <v>0.10159582872491701</v>
      </c>
      <c r="J57" s="167">
        <f t="shared" si="29"/>
        <v>0.35378640776699033</v>
      </c>
      <c r="K57" s="166">
        <f t="shared" si="30"/>
        <v>643</v>
      </c>
      <c r="L57" s="166">
        <f t="shared" si="31"/>
        <v>1822</v>
      </c>
      <c r="M57" s="167">
        <f t="shared" si="28"/>
        <v>1.2789684895330774E-3</v>
      </c>
    </row>
    <row r="58" spans="2:13" x14ac:dyDescent="0.25">
      <c r="B58" s="165" t="s">
        <v>119</v>
      </c>
      <c r="C58" s="166">
        <v>529</v>
      </c>
      <c r="D58" s="166">
        <v>1642</v>
      </c>
      <c r="E58" s="166">
        <v>2746</v>
      </c>
      <c r="F58" s="166">
        <v>2942</v>
      </c>
      <c r="G58" s="166">
        <v>2495</v>
      </c>
      <c r="H58" s="166">
        <v>2789</v>
      </c>
      <c r="I58" s="181">
        <f t="shared" si="32"/>
        <v>0.11783567134268536</v>
      </c>
      <c r="J58" s="167">
        <f t="shared" si="29"/>
        <v>0.69853836784409262</v>
      </c>
      <c r="K58" s="166">
        <f t="shared" si="30"/>
        <v>294</v>
      </c>
      <c r="L58" s="166">
        <f t="shared" si="31"/>
        <v>1147</v>
      </c>
      <c r="M58" s="167">
        <f t="shared" si="28"/>
        <v>5.1162408452492159E-4</v>
      </c>
    </row>
    <row r="59" spans="2:13" x14ac:dyDescent="0.25">
      <c r="B59" s="165" t="s">
        <v>126</v>
      </c>
      <c r="C59" s="166">
        <v>272</v>
      </c>
      <c r="D59" s="166">
        <v>377</v>
      </c>
      <c r="E59" s="166">
        <v>868</v>
      </c>
      <c r="F59" s="166">
        <v>832</v>
      </c>
      <c r="G59" s="166">
        <v>1068</v>
      </c>
      <c r="H59" s="166">
        <v>1139</v>
      </c>
      <c r="I59" s="181">
        <f t="shared" si="32"/>
        <v>6.6479400749063666E-2</v>
      </c>
      <c r="J59" s="167">
        <f t="shared" si="29"/>
        <v>2.0212201591511936</v>
      </c>
      <c r="K59" s="166">
        <f t="shared" si="30"/>
        <v>71</v>
      </c>
      <c r="L59" s="166">
        <f t="shared" si="31"/>
        <v>762</v>
      </c>
      <c r="M59" s="167">
        <f t="shared" si="28"/>
        <v>2.0894221307776465E-4</v>
      </c>
    </row>
    <row r="60" spans="2:13" x14ac:dyDescent="0.25">
      <c r="B60" s="165" t="s">
        <v>122</v>
      </c>
      <c r="C60" s="166">
        <v>227</v>
      </c>
      <c r="D60" s="166">
        <v>476</v>
      </c>
      <c r="E60" s="166">
        <v>657</v>
      </c>
      <c r="F60" s="166">
        <v>709</v>
      </c>
      <c r="G60" s="166">
        <v>744</v>
      </c>
      <c r="H60" s="166">
        <v>922</v>
      </c>
      <c r="I60" s="181">
        <f t="shared" si="32"/>
        <v>0.239247311827957</v>
      </c>
      <c r="J60" s="167">
        <f t="shared" si="29"/>
        <v>0.93697478991596639</v>
      </c>
      <c r="K60" s="166">
        <f t="shared" si="30"/>
        <v>178</v>
      </c>
      <c r="L60" s="166">
        <f t="shared" si="31"/>
        <v>446</v>
      </c>
      <c r="M60" s="167">
        <f t="shared" si="28"/>
        <v>1.691349608935022E-4</v>
      </c>
    </row>
    <row r="61" spans="2:13" x14ac:dyDescent="0.25">
      <c r="B61" s="165" t="s">
        <v>131</v>
      </c>
      <c r="C61" s="166">
        <v>136</v>
      </c>
      <c r="D61" s="166">
        <v>98</v>
      </c>
      <c r="E61" s="166">
        <v>136</v>
      </c>
      <c r="F61" s="166">
        <v>243</v>
      </c>
      <c r="G61" s="166">
        <v>145</v>
      </c>
      <c r="H61" s="166">
        <v>208</v>
      </c>
      <c r="I61" s="181">
        <f t="shared" si="32"/>
        <v>0.43448275862068964</v>
      </c>
      <c r="J61" s="167">
        <f t="shared" si="29"/>
        <v>1.1224489795918369</v>
      </c>
      <c r="K61" s="166">
        <f t="shared" si="30"/>
        <v>63</v>
      </c>
      <c r="L61" s="166">
        <f t="shared" si="31"/>
        <v>110</v>
      </c>
      <c r="M61" s="167">
        <f t="shared" si="28"/>
        <v>3.8156260158187052E-5</v>
      </c>
    </row>
    <row r="62" spans="2:13" x14ac:dyDescent="0.25">
      <c r="B62" s="165" t="s">
        <v>134</v>
      </c>
      <c r="C62" s="166">
        <v>215</v>
      </c>
      <c r="D62" s="166">
        <v>91</v>
      </c>
      <c r="E62" s="166">
        <v>153</v>
      </c>
      <c r="F62" s="166">
        <v>195</v>
      </c>
      <c r="G62" s="166">
        <v>160</v>
      </c>
      <c r="H62" s="166">
        <v>480</v>
      </c>
      <c r="I62" s="181">
        <f t="shared" si="32"/>
        <v>2</v>
      </c>
      <c r="J62" s="167">
        <f t="shared" si="29"/>
        <v>4.2747252747252746</v>
      </c>
      <c r="K62" s="166">
        <f t="shared" si="30"/>
        <v>320</v>
      </c>
      <c r="L62" s="166">
        <f t="shared" si="31"/>
        <v>389</v>
      </c>
      <c r="M62" s="167">
        <f t="shared" si="28"/>
        <v>8.8052908057354736E-5</v>
      </c>
    </row>
    <row r="63" spans="2:13" x14ac:dyDescent="0.25">
      <c r="B63" s="170" t="s">
        <v>148</v>
      </c>
      <c r="C63" s="171">
        <f t="shared" ref="C63" si="33">C55-SUM(C56:C62)</f>
        <v>2930</v>
      </c>
      <c r="D63" s="171">
        <f t="shared" ref="D63:E63" si="34">D55-SUM(D56:D62)</f>
        <v>4347</v>
      </c>
      <c r="E63" s="171">
        <f t="shared" si="34"/>
        <v>9266</v>
      </c>
      <c r="F63" s="171">
        <f t="shared" ref="F63:H63" si="35">F55-SUM(F56:F62)</f>
        <v>10476</v>
      </c>
      <c r="G63" s="171">
        <f t="shared" si="35"/>
        <v>11061</v>
      </c>
      <c r="H63" s="171">
        <f t="shared" si="35"/>
        <v>10134</v>
      </c>
      <c r="I63" s="182">
        <f t="shared" si="32"/>
        <v>-8.3807973962571225E-2</v>
      </c>
      <c r="J63" s="172">
        <f t="shared" si="29"/>
        <v>1.331262939958592</v>
      </c>
      <c r="K63" s="171">
        <f>H63-G63</f>
        <v>-927</v>
      </c>
      <c r="L63" s="171">
        <f t="shared" si="31"/>
        <v>5787</v>
      </c>
      <c r="M63" s="172">
        <f t="shared" si="28"/>
        <v>1.8590170213609017E-3</v>
      </c>
    </row>
    <row r="64" spans="2:13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6"/>
      <c r="L64" s="155"/>
      <c r="M64" s="155"/>
    </row>
    <row r="65" spans="2:13" x14ac:dyDescent="0.25">
      <c r="B65" s="158" t="s">
        <v>71</v>
      </c>
      <c r="C65" s="178">
        <v>52633</v>
      </c>
      <c r="D65" s="178">
        <v>70304</v>
      </c>
      <c r="E65" s="178">
        <v>161080</v>
      </c>
      <c r="F65" s="178">
        <v>173648</v>
      </c>
      <c r="G65" s="178">
        <v>231856</v>
      </c>
      <c r="H65" s="178">
        <v>188676</v>
      </c>
      <c r="I65" s="179">
        <f>IFERROR(H65/G65-1,"-")</f>
        <v>-0.1862362845904354</v>
      </c>
      <c r="J65" s="179">
        <f>IFERROR(H65/D65-1,"-")</f>
        <v>1.6837164314974964</v>
      </c>
      <c r="K65" s="178">
        <f>H65-G65</f>
        <v>-43180</v>
      </c>
      <c r="L65" s="178">
        <f>H65-D65</f>
        <v>118372</v>
      </c>
      <c r="M65" s="179">
        <f t="shared" ref="M65:M77" si="36">H65/H$9</f>
        <v>3.461139683464471E-2</v>
      </c>
    </row>
    <row r="66" spans="2:13" x14ac:dyDescent="0.25">
      <c r="B66" s="161" t="s">
        <v>100</v>
      </c>
      <c r="C66" s="162">
        <v>22233</v>
      </c>
      <c r="D66" s="162">
        <v>26311</v>
      </c>
      <c r="E66" s="162">
        <v>32375</v>
      </c>
      <c r="F66" s="162">
        <v>43847</v>
      </c>
      <c r="G66" s="162">
        <v>61312</v>
      </c>
      <c r="H66" s="162">
        <v>42953</v>
      </c>
      <c r="I66" s="180">
        <f>IFERROR(H66/G66-1,"-")</f>
        <v>-0.29943567327766174</v>
      </c>
      <c r="J66" s="163">
        <f t="shared" ref="J66:J77" si="37">IFERROR(H66/D66-1,"-")</f>
        <v>0.63251111702329821</v>
      </c>
      <c r="K66" s="162">
        <f t="shared" ref="K66:K76" si="38">H66-G66</f>
        <v>-18359</v>
      </c>
      <c r="L66" s="162">
        <f t="shared" ref="L66:L77" si="39">H66-D66</f>
        <v>16642</v>
      </c>
      <c r="M66" s="163">
        <f t="shared" si="36"/>
        <v>7.8794511662240788E-3</v>
      </c>
    </row>
    <row r="67" spans="2:13" x14ac:dyDescent="0.25">
      <c r="B67" s="165" t="s">
        <v>106</v>
      </c>
      <c r="C67" s="166">
        <v>8022</v>
      </c>
      <c r="D67" s="166">
        <v>21567</v>
      </c>
      <c r="E67" s="166">
        <v>23338</v>
      </c>
      <c r="F67" s="166">
        <v>29399</v>
      </c>
      <c r="G67" s="166">
        <v>37562</v>
      </c>
      <c r="H67" s="166">
        <v>16499</v>
      </c>
      <c r="I67" s="181">
        <f>IFERROR(H67/G67-1,"-")</f>
        <v>-0.56075288855758476</v>
      </c>
      <c r="J67" s="167">
        <f t="shared" si="37"/>
        <v>-0.23498864005193121</v>
      </c>
      <c r="K67" s="166">
        <f t="shared" si="38"/>
        <v>-21063</v>
      </c>
      <c r="L67" s="166">
        <f t="shared" si="39"/>
        <v>-5068</v>
      </c>
      <c r="M67" s="167">
        <f t="shared" si="36"/>
        <v>3.0266352709131159E-3</v>
      </c>
    </row>
    <row r="68" spans="2:13" x14ac:dyDescent="0.25">
      <c r="B68" s="165" t="s">
        <v>103</v>
      </c>
      <c r="C68" s="166">
        <v>14211</v>
      </c>
      <c r="D68" s="166">
        <v>4744</v>
      </c>
      <c r="E68" s="166">
        <v>9037</v>
      </c>
      <c r="F68" s="166">
        <v>14448</v>
      </c>
      <c r="G68" s="166">
        <v>23750</v>
      </c>
      <c r="H68" s="166">
        <v>26454</v>
      </c>
      <c r="I68" s="181">
        <f>IFERROR(H68/G68-1,"-")</f>
        <v>0.11385263157894743</v>
      </c>
      <c r="J68" s="167">
        <f t="shared" si="37"/>
        <v>4.5763069139966275</v>
      </c>
      <c r="K68" s="166">
        <f t="shared" si="38"/>
        <v>2704</v>
      </c>
      <c r="L68" s="166">
        <f t="shared" si="39"/>
        <v>21710</v>
      </c>
      <c r="M68" s="167">
        <f t="shared" si="36"/>
        <v>4.8528158953109624E-3</v>
      </c>
    </row>
    <row r="69" spans="2:13" x14ac:dyDescent="0.25">
      <c r="B69" s="161" t="s">
        <v>110</v>
      </c>
      <c r="C69" s="162">
        <v>30400</v>
      </c>
      <c r="D69" s="162">
        <v>43993</v>
      </c>
      <c r="E69" s="162">
        <v>128705</v>
      </c>
      <c r="F69" s="162">
        <v>129801</v>
      </c>
      <c r="G69" s="162">
        <v>170544</v>
      </c>
      <c r="H69" s="162">
        <v>145723</v>
      </c>
      <c r="I69" s="180">
        <f>IFERROR(H69/G69-1,"-")</f>
        <v>-0.14554015386058727</v>
      </c>
      <c r="J69" s="163">
        <f t="shared" si="37"/>
        <v>2.3124133384856682</v>
      </c>
      <c r="K69" s="162">
        <f t="shared" si="38"/>
        <v>-24821</v>
      </c>
      <c r="L69" s="162">
        <f t="shared" si="39"/>
        <v>101730</v>
      </c>
      <c r="M69" s="163">
        <f t="shared" si="36"/>
        <v>2.6731945668420631E-2</v>
      </c>
    </row>
    <row r="70" spans="2:13" x14ac:dyDescent="0.25">
      <c r="B70" s="165" t="s">
        <v>113</v>
      </c>
      <c r="C70" s="166">
        <v>13618</v>
      </c>
      <c r="D70" s="166">
        <v>12264</v>
      </c>
      <c r="E70" s="166">
        <v>56081</v>
      </c>
      <c r="F70" s="166">
        <v>49878</v>
      </c>
      <c r="G70" s="166">
        <v>73242</v>
      </c>
      <c r="H70" s="166">
        <v>73188</v>
      </c>
      <c r="I70" s="181">
        <f t="shared" ref="I70:I77" si="40">IFERROR(H70/G70-1,"-")</f>
        <v>-7.3728188744159873E-4</v>
      </c>
      <c r="J70" s="167">
        <f t="shared" si="37"/>
        <v>4.9677103718199609</v>
      </c>
      <c r="K70" s="166">
        <f t="shared" si="38"/>
        <v>-54</v>
      </c>
      <c r="L70" s="166">
        <f t="shared" si="39"/>
        <v>60924</v>
      </c>
      <c r="M70" s="167">
        <f t="shared" si="36"/>
        <v>1.3425867156045162E-2</v>
      </c>
    </row>
    <row r="71" spans="2:13" x14ac:dyDescent="0.25">
      <c r="B71" s="165" t="s">
        <v>116</v>
      </c>
      <c r="C71" s="166">
        <v>3293</v>
      </c>
      <c r="D71" s="166">
        <v>3586</v>
      </c>
      <c r="E71" s="166">
        <v>7748</v>
      </c>
      <c r="F71" s="166">
        <v>11641</v>
      </c>
      <c r="G71" s="166">
        <v>10731</v>
      </c>
      <c r="H71" s="166">
        <v>10632</v>
      </c>
      <c r="I71" s="181">
        <f t="shared" si="40"/>
        <v>-9.2256080514397931E-3</v>
      </c>
      <c r="J71" s="167">
        <f t="shared" si="37"/>
        <v>1.9648633575013945</v>
      </c>
      <c r="K71" s="166">
        <f t="shared" si="38"/>
        <v>-99</v>
      </c>
      <c r="L71" s="166">
        <f t="shared" si="39"/>
        <v>7046</v>
      </c>
      <c r="M71" s="167">
        <f t="shared" si="36"/>
        <v>1.9503719134704072E-3</v>
      </c>
    </row>
    <row r="72" spans="2:13" x14ac:dyDescent="0.25">
      <c r="B72" s="165" t="s">
        <v>119</v>
      </c>
      <c r="C72" s="166">
        <v>3415</v>
      </c>
      <c r="D72" s="166">
        <v>6294</v>
      </c>
      <c r="E72" s="166">
        <v>18047</v>
      </c>
      <c r="F72" s="166">
        <v>14569</v>
      </c>
      <c r="G72" s="166">
        <v>19123</v>
      </c>
      <c r="H72" s="166">
        <v>9824</v>
      </c>
      <c r="I72" s="181">
        <f t="shared" si="40"/>
        <v>-0.48627307430842437</v>
      </c>
      <c r="J72" s="167">
        <f t="shared" si="37"/>
        <v>0.56085160470289175</v>
      </c>
      <c r="K72" s="166">
        <f t="shared" si="38"/>
        <v>-9299</v>
      </c>
      <c r="L72" s="166">
        <f t="shared" si="39"/>
        <v>3530</v>
      </c>
      <c r="M72" s="167">
        <f t="shared" si="36"/>
        <v>1.8021495182405267E-3</v>
      </c>
    </row>
    <row r="73" spans="2:13" x14ac:dyDescent="0.25">
      <c r="B73" s="165" t="s">
        <v>126</v>
      </c>
      <c r="C73" s="166">
        <v>468</v>
      </c>
      <c r="D73" s="166">
        <v>3888</v>
      </c>
      <c r="E73" s="166">
        <v>3396</v>
      </c>
      <c r="F73" s="166">
        <v>3919</v>
      </c>
      <c r="G73" s="166">
        <v>6454</v>
      </c>
      <c r="H73" s="166">
        <v>5695</v>
      </c>
      <c r="I73" s="181">
        <f t="shared" si="40"/>
        <v>-0.1176014874496436</v>
      </c>
      <c r="J73" s="167">
        <f t="shared" si="37"/>
        <v>0.46476337448559679</v>
      </c>
      <c r="K73" s="166">
        <f t="shared" si="38"/>
        <v>-759</v>
      </c>
      <c r="L73" s="166">
        <f t="shared" si="39"/>
        <v>1807</v>
      </c>
      <c r="M73" s="167">
        <f t="shared" si="36"/>
        <v>1.0447110653888233E-3</v>
      </c>
    </row>
    <row r="74" spans="2:13" x14ac:dyDescent="0.25">
      <c r="B74" s="165" t="s">
        <v>122</v>
      </c>
      <c r="C74" s="166">
        <v>1224</v>
      </c>
      <c r="D74" s="166">
        <v>1635</v>
      </c>
      <c r="E74" s="166">
        <v>3248</v>
      </c>
      <c r="F74" s="166">
        <v>2240</v>
      </c>
      <c r="G74" s="166">
        <v>4219</v>
      </c>
      <c r="H74" s="166">
        <v>3080</v>
      </c>
      <c r="I74" s="181">
        <f t="shared" si="40"/>
        <v>-0.26996918701114003</v>
      </c>
      <c r="J74" s="167">
        <f t="shared" si="37"/>
        <v>0.88379204892966357</v>
      </c>
      <c r="K74" s="166">
        <f t="shared" si="38"/>
        <v>-1139</v>
      </c>
      <c r="L74" s="166">
        <f t="shared" si="39"/>
        <v>1445</v>
      </c>
      <c r="M74" s="167">
        <f t="shared" si="36"/>
        <v>5.650061600346928E-4</v>
      </c>
    </row>
    <row r="75" spans="2:13" x14ac:dyDescent="0.25">
      <c r="B75" s="165" t="s">
        <v>131</v>
      </c>
      <c r="C75" s="166">
        <v>683</v>
      </c>
      <c r="D75" s="166">
        <v>1848</v>
      </c>
      <c r="E75" s="166">
        <v>2875</v>
      </c>
      <c r="F75" s="166">
        <v>3767</v>
      </c>
      <c r="G75" s="166">
        <v>3186</v>
      </c>
      <c r="H75" s="166">
        <v>2152</v>
      </c>
      <c r="I75" s="181">
        <f t="shared" si="40"/>
        <v>-0.32454488386691771</v>
      </c>
      <c r="J75" s="167">
        <f t="shared" si="37"/>
        <v>0.16450216450216448</v>
      </c>
      <c r="K75" s="166">
        <f t="shared" si="38"/>
        <v>-1034</v>
      </c>
      <c r="L75" s="166">
        <f t="shared" si="39"/>
        <v>304</v>
      </c>
      <c r="M75" s="167">
        <f t="shared" si="36"/>
        <v>3.9477053779047368E-4</v>
      </c>
    </row>
    <row r="76" spans="2:13" x14ac:dyDescent="0.25">
      <c r="B76" s="165" t="s">
        <v>134</v>
      </c>
      <c r="C76" s="166">
        <v>925</v>
      </c>
      <c r="D76" s="166">
        <v>363</v>
      </c>
      <c r="E76" s="166">
        <v>967</v>
      </c>
      <c r="F76" s="166">
        <v>1109</v>
      </c>
      <c r="G76" s="166">
        <v>3135</v>
      </c>
      <c r="H76" s="166">
        <v>3206</v>
      </c>
      <c r="I76" s="181">
        <f t="shared" si="40"/>
        <v>2.2647527910685916E-2</v>
      </c>
      <c r="J76" s="167">
        <f t="shared" si="37"/>
        <v>7.8319559228650135</v>
      </c>
      <c r="K76" s="166">
        <f t="shared" si="38"/>
        <v>71</v>
      </c>
      <c r="L76" s="166">
        <f t="shared" si="39"/>
        <v>2843</v>
      </c>
      <c r="M76" s="167">
        <f t="shared" si="36"/>
        <v>5.8812004839974843E-4</v>
      </c>
    </row>
    <row r="77" spans="2:13" x14ac:dyDescent="0.25">
      <c r="B77" s="170" t="s">
        <v>148</v>
      </c>
      <c r="C77" s="171">
        <f t="shared" ref="C77" si="41">C69-SUM(C70:C76)</f>
        <v>6774</v>
      </c>
      <c r="D77" s="171">
        <f t="shared" ref="D77:E77" si="42">D69-SUM(D70:D76)</f>
        <v>14115</v>
      </c>
      <c r="E77" s="171">
        <f t="shared" si="42"/>
        <v>36343</v>
      </c>
      <c r="F77" s="171">
        <f t="shared" ref="F77:H77" si="43">F69-SUM(F70:F76)</f>
        <v>42678</v>
      </c>
      <c r="G77" s="171">
        <f t="shared" si="43"/>
        <v>50454</v>
      </c>
      <c r="H77" s="171">
        <f t="shared" si="43"/>
        <v>37946</v>
      </c>
      <c r="I77" s="182">
        <f t="shared" si="40"/>
        <v>-0.2479089864034566</v>
      </c>
      <c r="J77" s="172">
        <f t="shared" si="37"/>
        <v>1.6883457314913213</v>
      </c>
      <c r="K77" s="171">
        <f>H77-G77</f>
        <v>-12508</v>
      </c>
      <c r="L77" s="171">
        <f t="shared" si="39"/>
        <v>23831</v>
      </c>
      <c r="M77" s="172">
        <f t="shared" si="36"/>
        <v>6.9609492690507974E-3</v>
      </c>
    </row>
    <row r="78" spans="2:13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6"/>
      <c r="L78" s="155"/>
      <c r="M78" s="155"/>
    </row>
    <row r="79" spans="2:13" x14ac:dyDescent="0.25">
      <c r="B79" s="158" t="s">
        <v>71</v>
      </c>
      <c r="C79" s="178">
        <v>211451</v>
      </c>
      <c r="D79" s="178">
        <v>354204</v>
      </c>
      <c r="E79" s="178">
        <v>710225</v>
      </c>
      <c r="F79" s="178">
        <v>800263</v>
      </c>
      <c r="G79" s="178">
        <v>915958</v>
      </c>
      <c r="H79" s="178">
        <v>937396</v>
      </c>
      <c r="I79" s="179">
        <f>IFERROR(H79/G79-1,"-")</f>
        <v>2.3405003286176784E-2</v>
      </c>
      <c r="J79" s="179">
        <f>IFERROR(H79/D79-1,"-")</f>
        <v>1.6464862056893765</v>
      </c>
      <c r="K79" s="178">
        <f>H79-G79</f>
        <v>21438</v>
      </c>
      <c r="L79" s="178">
        <f>H79-D79</f>
        <v>583192</v>
      </c>
      <c r="M79" s="179">
        <f t="shared" ref="M79:M91" si="44">H79/H$9</f>
        <v>0.17195925791944186</v>
      </c>
    </row>
    <row r="80" spans="2:13" x14ac:dyDescent="0.25">
      <c r="B80" s="161" t="s">
        <v>100</v>
      </c>
      <c r="C80" s="162">
        <v>94044</v>
      </c>
      <c r="D80" s="162">
        <v>181693</v>
      </c>
      <c r="E80" s="162">
        <v>342343</v>
      </c>
      <c r="F80" s="162">
        <v>343297</v>
      </c>
      <c r="G80" s="162">
        <v>382439</v>
      </c>
      <c r="H80" s="162">
        <v>398420</v>
      </c>
      <c r="I80" s="180">
        <f>IFERROR(H80/G80-1,"-")</f>
        <v>4.1787056236419318E-2</v>
      </c>
      <c r="J80" s="163">
        <f t="shared" ref="J80:J91" si="45">IFERROR(H80/D80-1,"-")</f>
        <v>1.1928197564022831</v>
      </c>
      <c r="K80" s="162">
        <f t="shared" ref="K80:K90" si="46">H80-G80</f>
        <v>15981</v>
      </c>
      <c r="L80" s="162">
        <f t="shared" ref="L80:L91" si="47">H80-D80</f>
        <v>216727</v>
      </c>
      <c r="M80" s="163">
        <f t="shared" si="44"/>
        <v>7.3087582558773484E-2</v>
      </c>
    </row>
    <row r="81" spans="2:13" x14ac:dyDescent="0.25">
      <c r="B81" s="165" t="s">
        <v>106</v>
      </c>
      <c r="C81" s="166">
        <v>25393</v>
      </c>
      <c r="D81" s="166">
        <v>66989</v>
      </c>
      <c r="E81" s="166">
        <v>97391</v>
      </c>
      <c r="F81" s="166">
        <v>92865</v>
      </c>
      <c r="G81" s="166">
        <v>106402</v>
      </c>
      <c r="H81" s="166">
        <v>104050</v>
      </c>
      <c r="I81" s="181">
        <f>IFERROR(H81/G81-1,"-")</f>
        <v>-2.2104847653239612E-2</v>
      </c>
      <c r="J81" s="167">
        <f t="shared" si="45"/>
        <v>0.55324008419292725</v>
      </c>
      <c r="K81" s="166">
        <f t="shared" si="46"/>
        <v>-2352</v>
      </c>
      <c r="L81" s="166">
        <f t="shared" si="47"/>
        <v>37061</v>
      </c>
      <c r="M81" s="167">
        <f t="shared" si="44"/>
        <v>1.9087302257016166E-2</v>
      </c>
    </row>
    <row r="82" spans="2:13" x14ac:dyDescent="0.25">
      <c r="B82" s="165" t="s">
        <v>103</v>
      </c>
      <c r="C82" s="166">
        <v>68651</v>
      </c>
      <c r="D82" s="166">
        <v>114704</v>
      </c>
      <c r="E82" s="166">
        <v>244952</v>
      </c>
      <c r="F82" s="166">
        <v>250432</v>
      </c>
      <c r="G82" s="166">
        <v>276037</v>
      </c>
      <c r="H82" s="166">
        <v>294370</v>
      </c>
      <c r="I82" s="181">
        <f>IFERROR(H82/G82-1,"-")</f>
        <v>6.6415009582048823E-2</v>
      </c>
      <c r="J82" s="167">
        <f t="shared" si="45"/>
        <v>1.5663446784767752</v>
      </c>
      <c r="K82" s="166">
        <f t="shared" si="46"/>
        <v>18333</v>
      </c>
      <c r="L82" s="166">
        <f t="shared" si="47"/>
        <v>179666</v>
      </c>
      <c r="M82" s="167">
        <f t="shared" si="44"/>
        <v>5.4000280301757318E-2</v>
      </c>
    </row>
    <row r="83" spans="2:13" x14ac:dyDescent="0.25">
      <c r="B83" s="161" t="s">
        <v>110</v>
      </c>
      <c r="C83" s="162">
        <v>117407</v>
      </c>
      <c r="D83" s="162">
        <v>172511</v>
      </c>
      <c r="E83" s="162">
        <v>367882</v>
      </c>
      <c r="F83" s="162">
        <v>456966</v>
      </c>
      <c r="G83" s="162">
        <v>533519</v>
      </c>
      <c r="H83" s="162">
        <v>538976</v>
      </c>
      <c r="I83" s="180">
        <f>IFERROR(H83/G83-1,"-")</f>
        <v>1.0228314268095451E-2</v>
      </c>
      <c r="J83" s="163">
        <f t="shared" si="45"/>
        <v>2.1242993200433595</v>
      </c>
      <c r="K83" s="162">
        <f t="shared" si="46"/>
        <v>5457</v>
      </c>
      <c r="L83" s="162">
        <f t="shared" si="47"/>
        <v>366465</v>
      </c>
      <c r="M83" s="163">
        <f t="shared" si="44"/>
        <v>9.8871675360668376E-2</v>
      </c>
    </row>
    <row r="84" spans="2:13" x14ac:dyDescent="0.25">
      <c r="B84" s="165" t="s">
        <v>113</v>
      </c>
      <c r="C84" s="166">
        <v>19977</v>
      </c>
      <c r="D84" s="166">
        <v>16695</v>
      </c>
      <c r="E84" s="166">
        <v>71554</v>
      </c>
      <c r="F84" s="166">
        <v>94350</v>
      </c>
      <c r="G84" s="166">
        <v>110535</v>
      </c>
      <c r="H84" s="166">
        <v>115762</v>
      </c>
      <c r="I84" s="181">
        <f t="shared" ref="I84:I91" si="48">IFERROR(H84/G84-1,"-")</f>
        <v>4.7288189261319946E-2</v>
      </c>
      <c r="J84" s="167">
        <f t="shared" si="45"/>
        <v>5.9339323150643901</v>
      </c>
      <c r="K84" s="166">
        <f t="shared" si="46"/>
        <v>5227</v>
      </c>
      <c r="L84" s="166">
        <f t="shared" si="47"/>
        <v>99067</v>
      </c>
      <c r="M84" s="167">
        <f t="shared" si="44"/>
        <v>2.1235793213615621E-2</v>
      </c>
    </row>
    <row r="85" spans="2:13" x14ac:dyDescent="0.25">
      <c r="B85" s="165" t="s">
        <v>116</v>
      </c>
      <c r="C85" s="166">
        <v>38015</v>
      </c>
      <c r="D85" s="166">
        <v>53227</v>
      </c>
      <c r="E85" s="166">
        <v>113120</v>
      </c>
      <c r="F85" s="166">
        <v>127790</v>
      </c>
      <c r="G85" s="166">
        <v>142028</v>
      </c>
      <c r="H85" s="166">
        <v>139475</v>
      </c>
      <c r="I85" s="181">
        <f t="shared" si="48"/>
        <v>-1.7975328808404023E-2</v>
      </c>
      <c r="J85" s="167">
        <f t="shared" si="45"/>
        <v>1.620380633888816</v>
      </c>
      <c r="K85" s="166">
        <f t="shared" si="46"/>
        <v>-2553</v>
      </c>
      <c r="L85" s="166">
        <f t="shared" si="47"/>
        <v>86248</v>
      </c>
      <c r="M85" s="167">
        <f t="shared" si="44"/>
        <v>2.5585790315207399E-2</v>
      </c>
    </row>
    <row r="86" spans="2:13" x14ac:dyDescent="0.25">
      <c r="B86" s="165" t="s">
        <v>119</v>
      </c>
      <c r="C86" s="166">
        <v>8127</v>
      </c>
      <c r="D86" s="166">
        <v>19927</v>
      </c>
      <c r="E86" s="166">
        <v>30758</v>
      </c>
      <c r="F86" s="166">
        <v>42427</v>
      </c>
      <c r="G86" s="166">
        <v>58007</v>
      </c>
      <c r="H86" s="166">
        <v>57115</v>
      </c>
      <c r="I86" s="181">
        <f t="shared" si="48"/>
        <v>-1.5377454445153149E-2</v>
      </c>
      <c r="J86" s="167">
        <f t="shared" si="45"/>
        <v>1.8662116726050084</v>
      </c>
      <c r="K86" s="166">
        <f t="shared" si="46"/>
        <v>-892</v>
      </c>
      <c r="L86" s="166">
        <f t="shared" si="47"/>
        <v>37188</v>
      </c>
      <c r="M86" s="167">
        <f t="shared" si="44"/>
        <v>1.0477378841032949E-2</v>
      </c>
    </row>
    <row r="87" spans="2:13" x14ac:dyDescent="0.25">
      <c r="B87" s="165" t="s">
        <v>126</v>
      </c>
      <c r="C87" s="166">
        <v>1893</v>
      </c>
      <c r="D87" s="166">
        <v>5996</v>
      </c>
      <c r="E87" s="166">
        <v>10713</v>
      </c>
      <c r="F87" s="166">
        <v>13075</v>
      </c>
      <c r="G87" s="166">
        <v>18571</v>
      </c>
      <c r="H87" s="166">
        <v>15989</v>
      </c>
      <c r="I87" s="181">
        <f t="shared" si="48"/>
        <v>-0.13903397770717785</v>
      </c>
      <c r="J87" s="167">
        <f t="shared" si="45"/>
        <v>1.6666110740493663</v>
      </c>
      <c r="K87" s="166">
        <f t="shared" si="46"/>
        <v>-2582</v>
      </c>
      <c r="L87" s="166">
        <f t="shared" si="47"/>
        <v>9993</v>
      </c>
      <c r="M87" s="167">
        <f t="shared" si="44"/>
        <v>2.9330790561021766E-3</v>
      </c>
    </row>
    <row r="88" spans="2:13" x14ac:dyDescent="0.25">
      <c r="B88" s="165" t="s">
        <v>122</v>
      </c>
      <c r="C88" s="166">
        <v>2041</v>
      </c>
      <c r="D88" s="166">
        <v>5201</v>
      </c>
      <c r="E88" s="166">
        <v>5872</v>
      </c>
      <c r="F88" s="166">
        <v>7046</v>
      </c>
      <c r="G88" s="166">
        <v>8921</v>
      </c>
      <c r="H88" s="166">
        <v>9558</v>
      </c>
      <c r="I88" s="181">
        <f t="shared" si="48"/>
        <v>7.1404551059298216E-2</v>
      </c>
      <c r="J88" s="167">
        <f t="shared" si="45"/>
        <v>0.83772351470870987</v>
      </c>
      <c r="K88" s="166">
        <f t="shared" si="46"/>
        <v>637</v>
      </c>
      <c r="L88" s="166">
        <f t="shared" si="47"/>
        <v>4357</v>
      </c>
      <c r="M88" s="167">
        <f t="shared" si="44"/>
        <v>1.753353531692076E-3</v>
      </c>
    </row>
    <row r="89" spans="2:13" x14ac:dyDescent="0.25">
      <c r="B89" s="165" t="s">
        <v>131</v>
      </c>
      <c r="C89" s="166">
        <v>3044</v>
      </c>
      <c r="D89" s="166">
        <v>2575</v>
      </c>
      <c r="E89" s="166">
        <v>7581</v>
      </c>
      <c r="F89" s="166">
        <v>8522</v>
      </c>
      <c r="G89" s="166">
        <v>7390</v>
      </c>
      <c r="H89" s="166">
        <v>7981</v>
      </c>
      <c r="I89" s="181">
        <f t="shared" si="48"/>
        <v>7.9972936400541261E-2</v>
      </c>
      <c r="J89" s="167">
        <f t="shared" si="45"/>
        <v>2.0994174757281554</v>
      </c>
      <c r="K89" s="166">
        <f t="shared" si="46"/>
        <v>591</v>
      </c>
      <c r="L89" s="166">
        <f t="shared" si="47"/>
        <v>5406</v>
      </c>
      <c r="M89" s="167">
        <f t="shared" si="44"/>
        <v>1.4640630400119751E-3</v>
      </c>
    </row>
    <row r="90" spans="2:13" x14ac:dyDescent="0.25">
      <c r="B90" s="165" t="s">
        <v>134</v>
      </c>
      <c r="C90" s="166">
        <v>4830</v>
      </c>
      <c r="D90" s="166">
        <v>2819</v>
      </c>
      <c r="E90" s="166">
        <v>7599</v>
      </c>
      <c r="F90" s="166">
        <v>9971</v>
      </c>
      <c r="G90" s="166">
        <v>9581</v>
      </c>
      <c r="H90" s="166">
        <v>7579</v>
      </c>
      <c r="I90" s="181">
        <f t="shared" si="48"/>
        <v>-0.20895522388059706</v>
      </c>
      <c r="J90" s="167">
        <f t="shared" si="45"/>
        <v>1.6885420361830437</v>
      </c>
      <c r="K90" s="166">
        <f t="shared" si="46"/>
        <v>-2002</v>
      </c>
      <c r="L90" s="166">
        <f t="shared" si="47"/>
        <v>4760</v>
      </c>
      <c r="M90" s="167">
        <f t="shared" si="44"/>
        <v>1.3903187295139406E-3</v>
      </c>
    </row>
    <row r="91" spans="2:13" x14ac:dyDescent="0.25">
      <c r="B91" s="170" t="s">
        <v>148</v>
      </c>
      <c r="C91" s="171">
        <f t="shared" ref="C91" si="49">C83-SUM(C84:C90)</f>
        <v>39480</v>
      </c>
      <c r="D91" s="171">
        <f t="shared" ref="D91:E91" si="50">D83-SUM(D84:D90)</f>
        <v>66071</v>
      </c>
      <c r="E91" s="171">
        <f t="shared" si="50"/>
        <v>120685</v>
      </c>
      <c r="F91" s="171">
        <f t="shared" ref="F91:H91" si="51">F83-SUM(F84:F90)</f>
        <v>153785</v>
      </c>
      <c r="G91" s="171">
        <f t="shared" si="51"/>
        <v>178486</v>
      </c>
      <c r="H91" s="171">
        <f t="shared" si="51"/>
        <v>185517</v>
      </c>
      <c r="I91" s="182">
        <f t="shared" si="48"/>
        <v>3.93924453458534E-2</v>
      </c>
      <c r="J91" s="172">
        <f t="shared" si="45"/>
        <v>1.8078430779010457</v>
      </c>
      <c r="K91" s="171">
        <f>H91-G91</f>
        <v>7031</v>
      </c>
      <c r="L91" s="171">
        <f t="shared" si="47"/>
        <v>119446</v>
      </c>
      <c r="M91" s="172">
        <f t="shared" si="44"/>
        <v>3.4031898633492243E-2</v>
      </c>
    </row>
    <row r="92" spans="2:13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6"/>
      <c r="L92" s="155"/>
      <c r="M92" s="155"/>
    </row>
    <row r="93" spans="2:13" x14ac:dyDescent="0.25">
      <c r="B93" s="158" t="s">
        <v>71</v>
      </c>
      <c r="C93" s="178">
        <v>22616</v>
      </c>
      <c r="D93" s="178">
        <v>33444</v>
      </c>
      <c r="E93" s="178">
        <v>51485</v>
      </c>
      <c r="F93" s="178">
        <v>58157</v>
      </c>
      <c r="G93" s="178">
        <v>57388</v>
      </c>
      <c r="H93" s="178">
        <v>56585</v>
      </c>
      <c r="I93" s="179">
        <f>IFERROR(H93/G93-1,"-")</f>
        <v>-1.3992472293859359E-2</v>
      </c>
      <c r="J93" s="179">
        <f>IFERROR(H93/D93-1,"-")</f>
        <v>0.69193278315990914</v>
      </c>
      <c r="K93" s="178">
        <f>H93-G93</f>
        <v>-803</v>
      </c>
      <c r="L93" s="178">
        <f>H93-D93</f>
        <v>23141</v>
      </c>
      <c r="M93" s="179">
        <f t="shared" ref="M93:M105" si="52">H93/H$9</f>
        <v>1.0380153755052952E-2</v>
      </c>
    </row>
    <row r="94" spans="2:13" x14ac:dyDescent="0.25">
      <c r="B94" s="161" t="s">
        <v>100</v>
      </c>
      <c r="C94" s="162">
        <v>14777</v>
      </c>
      <c r="D94" s="162">
        <v>21732</v>
      </c>
      <c r="E94" s="162">
        <v>33809</v>
      </c>
      <c r="F94" s="162">
        <v>37722</v>
      </c>
      <c r="G94" s="162">
        <v>35821</v>
      </c>
      <c r="H94" s="162">
        <v>35565</v>
      </c>
      <c r="I94" s="180">
        <f>IFERROR(H94/G94-1,"-")</f>
        <v>-7.146645822282971E-3</v>
      </c>
      <c r="J94" s="163">
        <f t="shared" ref="J94:J105" si="53">IFERROR(H94/D94-1,"-")</f>
        <v>0.63652678078409708</v>
      </c>
      <c r="K94" s="162">
        <f t="shared" ref="K94:K104" si="54">H94-G94</f>
        <v>-256</v>
      </c>
      <c r="L94" s="162">
        <f t="shared" ref="L94:L105" si="55">H94-D94</f>
        <v>13833</v>
      </c>
      <c r="M94" s="163">
        <f t="shared" si="52"/>
        <v>6.5241701563746269E-3</v>
      </c>
    </row>
    <row r="95" spans="2:13" x14ac:dyDescent="0.25">
      <c r="B95" s="165" t="s">
        <v>106</v>
      </c>
      <c r="C95" s="166">
        <v>8025</v>
      </c>
      <c r="D95" s="166">
        <v>11001</v>
      </c>
      <c r="E95" s="166">
        <v>16289</v>
      </c>
      <c r="F95" s="166">
        <v>12024</v>
      </c>
      <c r="G95" s="166">
        <v>11877</v>
      </c>
      <c r="H95" s="166">
        <v>13687</v>
      </c>
      <c r="I95" s="181">
        <f>IFERROR(H95/G95-1,"-")</f>
        <v>0.15239538604024583</v>
      </c>
      <c r="J95" s="167">
        <f t="shared" si="53"/>
        <v>0.24415962185255879</v>
      </c>
      <c r="K95" s="166">
        <f t="shared" si="54"/>
        <v>1810</v>
      </c>
      <c r="L95" s="166">
        <f t="shared" si="55"/>
        <v>2686</v>
      </c>
      <c r="M95" s="167">
        <f t="shared" si="52"/>
        <v>2.5107919845437795E-3</v>
      </c>
    </row>
    <row r="96" spans="2:13" x14ac:dyDescent="0.25">
      <c r="B96" s="165" t="s">
        <v>103</v>
      </c>
      <c r="C96" s="166">
        <v>6752</v>
      </c>
      <c r="D96" s="166">
        <v>10731</v>
      </c>
      <c r="E96" s="166">
        <v>17520</v>
      </c>
      <c r="F96" s="166">
        <v>25698</v>
      </c>
      <c r="G96" s="166">
        <v>23944</v>
      </c>
      <c r="H96" s="166">
        <v>21878</v>
      </c>
      <c r="I96" s="181">
        <f>IFERROR(H96/G96-1,"-")</f>
        <v>-8.6284664216505158E-2</v>
      </c>
      <c r="J96" s="167">
        <f t="shared" si="53"/>
        <v>1.0387661914080701</v>
      </c>
      <c r="K96" s="166">
        <f t="shared" si="54"/>
        <v>-2066</v>
      </c>
      <c r="L96" s="166">
        <f t="shared" si="55"/>
        <v>11147</v>
      </c>
      <c r="M96" s="167">
        <f t="shared" si="52"/>
        <v>4.013378171830847E-3</v>
      </c>
    </row>
    <row r="97" spans="2:13" x14ac:dyDescent="0.25">
      <c r="B97" s="161" t="s">
        <v>110</v>
      </c>
      <c r="C97" s="162">
        <v>7839</v>
      </c>
      <c r="D97" s="162">
        <v>11712</v>
      </c>
      <c r="E97" s="162">
        <v>17676</v>
      </c>
      <c r="F97" s="162">
        <v>20435</v>
      </c>
      <c r="G97" s="162">
        <v>21567</v>
      </c>
      <c r="H97" s="162">
        <v>21020</v>
      </c>
      <c r="I97" s="180">
        <f>IFERROR(H97/G97-1,"-")</f>
        <v>-2.5362822831177301E-2</v>
      </c>
      <c r="J97" s="163">
        <f t="shared" si="53"/>
        <v>0.79474043715846987</v>
      </c>
      <c r="K97" s="162">
        <f t="shared" si="54"/>
        <v>-547</v>
      </c>
      <c r="L97" s="162">
        <f t="shared" si="55"/>
        <v>9308</v>
      </c>
      <c r="M97" s="163">
        <f t="shared" si="52"/>
        <v>3.855983598678326E-3</v>
      </c>
    </row>
    <row r="98" spans="2:13" x14ac:dyDescent="0.25">
      <c r="B98" s="165" t="s">
        <v>113</v>
      </c>
      <c r="C98" s="166">
        <v>1262</v>
      </c>
      <c r="D98" s="166">
        <v>921</v>
      </c>
      <c r="E98" s="166">
        <v>2403</v>
      </c>
      <c r="F98" s="166">
        <v>2795</v>
      </c>
      <c r="G98" s="166">
        <v>3030</v>
      </c>
      <c r="H98" s="166">
        <v>2551</v>
      </c>
      <c r="I98" s="181">
        <f t="shared" ref="I98:I105" si="56">IFERROR(H98/G98-1,"-")</f>
        <v>-0.15808580858085808</v>
      </c>
      <c r="J98" s="167">
        <f t="shared" si="53"/>
        <v>1.769815418023887</v>
      </c>
      <c r="K98" s="166">
        <f t="shared" si="54"/>
        <v>-479</v>
      </c>
      <c r="L98" s="166">
        <f t="shared" si="55"/>
        <v>1630</v>
      </c>
      <c r="M98" s="167">
        <f t="shared" si="52"/>
        <v>4.6796451761314985E-4</v>
      </c>
    </row>
    <row r="99" spans="2:13" x14ac:dyDescent="0.25">
      <c r="B99" s="165" t="s">
        <v>116</v>
      </c>
      <c r="C99" s="166">
        <v>1429</v>
      </c>
      <c r="D99" s="166">
        <v>2395</v>
      </c>
      <c r="E99" s="166">
        <v>3482</v>
      </c>
      <c r="F99" s="166">
        <v>3814</v>
      </c>
      <c r="G99" s="166">
        <v>4234</v>
      </c>
      <c r="H99" s="166">
        <v>3931</v>
      </c>
      <c r="I99" s="181">
        <f t="shared" si="56"/>
        <v>-7.1563533301842175E-2</v>
      </c>
      <c r="J99" s="167">
        <f t="shared" si="53"/>
        <v>0.64133611691022963</v>
      </c>
      <c r="K99" s="166">
        <f t="shared" si="54"/>
        <v>-303</v>
      </c>
      <c r="L99" s="166">
        <f t="shared" si="55"/>
        <v>1536</v>
      </c>
      <c r="M99" s="167">
        <f t="shared" si="52"/>
        <v>7.2111662827804466E-4</v>
      </c>
    </row>
    <row r="100" spans="2:13" x14ac:dyDescent="0.25">
      <c r="B100" s="165" t="s">
        <v>119</v>
      </c>
      <c r="C100" s="166">
        <v>1899</v>
      </c>
      <c r="D100" s="166">
        <v>3541</v>
      </c>
      <c r="E100" s="166">
        <v>3412</v>
      </c>
      <c r="F100" s="166">
        <v>3885</v>
      </c>
      <c r="G100" s="166">
        <v>3685</v>
      </c>
      <c r="H100" s="166">
        <v>3701</v>
      </c>
      <c r="I100" s="181">
        <f t="shared" si="56"/>
        <v>4.3419267299864561E-3</v>
      </c>
      <c r="J100" s="167">
        <f t="shared" si="53"/>
        <v>4.5184975995481436E-2</v>
      </c>
      <c r="K100" s="166">
        <f t="shared" si="54"/>
        <v>16</v>
      </c>
      <c r="L100" s="166">
        <f t="shared" si="55"/>
        <v>160</v>
      </c>
      <c r="M100" s="167">
        <f t="shared" si="52"/>
        <v>6.7892460983389553E-4</v>
      </c>
    </row>
    <row r="101" spans="2:13" x14ac:dyDescent="0.25">
      <c r="B101" s="165" t="s">
        <v>126</v>
      </c>
      <c r="C101" s="166">
        <v>316</v>
      </c>
      <c r="D101" s="166">
        <v>432</v>
      </c>
      <c r="E101" s="166">
        <v>1172</v>
      </c>
      <c r="F101" s="166">
        <v>938</v>
      </c>
      <c r="G101" s="166">
        <v>933</v>
      </c>
      <c r="H101" s="166">
        <v>900</v>
      </c>
      <c r="I101" s="181">
        <f t="shared" si="56"/>
        <v>-3.5369774919614128E-2</v>
      </c>
      <c r="J101" s="167">
        <f t="shared" si="53"/>
        <v>1.0833333333333335</v>
      </c>
      <c r="K101" s="166">
        <f t="shared" si="54"/>
        <v>-33</v>
      </c>
      <c r="L101" s="166">
        <f t="shared" si="55"/>
        <v>468</v>
      </c>
      <c r="M101" s="167">
        <f t="shared" si="52"/>
        <v>1.6509920260754011E-4</v>
      </c>
    </row>
    <row r="102" spans="2:13" x14ac:dyDescent="0.25">
      <c r="B102" s="165" t="s">
        <v>122</v>
      </c>
      <c r="C102" s="166">
        <v>327</v>
      </c>
      <c r="D102" s="166">
        <v>507</v>
      </c>
      <c r="E102" s="166">
        <v>682</v>
      </c>
      <c r="F102" s="166">
        <v>650</v>
      </c>
      <c r="G102" s="166">
        <v>903</v>
      </c>
      <c r="H102" s="166">
        <v>839</v>
      </c>
      <c r="I102" s="181">
        <f t="shared" si="56"/>
        <v>-7.0874861572535974E-2</v>
      </c>
      <c r="J102" s="167">
        <f t="shared" si="53"/>
        <v>0.65483234714003946</v>
      </c>
      <c r="K102" s="166">
        <f t="shared" si="54"/>
        <v>-64</v>
      </c>
      <c r="L102" s="166">
        <f t="shared" si="55"/>
        <v>332</v>
      </c>
      <c r="M102" s="167">
        <f t="shared" si="52"/>
        <v>1.5390914554191796E-4</v>
      </c>
    </row>
    <row r="103" spans="2:13" x14ac:dyDescent="0.25">
      <c r="B103" s="165" t="s">
        <v>131</v>
      </c>
      <c r="C103" s="166">
        <v>120</v>
      </c>
      <c r="D103" s="166">
        <v>105</v>
      </c>
      <c r="E103" s="166">
        <v>270</v>
      </c>
      <c r="F103" s="166">
        <v>153</v>
      </c>
      <c r="G103" s="166">
        <v>230</v>
      </c>
      <c r="H103" s="166">
        <v>185</v>
      </c>
      <c r="I103" s="181">
        <f t="shared" si="56"/>
        <v>-0.19565217391304346</v>
      </c>
      <c r="J103" s="167">
        <f t="shared" si="53"/>
        <v>0.76190476190476186</v>
      </c>
      <c r="K103" s="166">
        <f t="shared" si="54"/>
        <v>-45</v>
      </c>
      <c r="L103" s="166">
        <f t="shared" si="55"/>
        <v>80</v>
      </c>
      <c r="M103" s="167">
        <f t="shared" si="52"/>
        <v>3.3937058313772136E-5</v>
      </c>
    </row>
    <row r="104" spans="2:13" x14ac:dyDescent="0.25">
      <c r="B104" s="165" t="s">
        <v>134</v>
      </c>
      <c r="C104" s="166">
        <v>87</v>
      </c>
      <c r="D104" s="166">
        <v>96</v>
      </c>
      <c r="E104" s="166">
        <v>168</v>
      </c>
      <c r="F104" s="166">
        <v>270</v>
      </c>
      <c r="G104" s="166">
        <v>384</v>
      </c>
      <c r="H104" s="166">
        <v>239</v>
      </c>
      <c r="I104" s="181">
        <f t="shared" si="56"/>
        <v>-0.37760416666666663</v>
      </c>
      <c r="J104" s="167">
        <f t="shared" si="53"/>
        <v>1.4895833333333335</v>
      </c>
      <c r="K104" s="166">
        <f t="shared" si="54"/>
        <v>-145</v>
      </c>
      <c r="L104" s="166">
        <f t="shared" si="55"/>
        <v>143</v>
      </c>
      <c r="M104" s="167">
        <f t="shared" si="52"/>
        <v>4.3843010470224541E-5</v>
      </c>
    </row>
    <row r="105" spans="2:13" x14ac:dyDescent="0.25">
      <c r="B105" s="170" t="s">
        <v>148</v>
      </c>
      <c r="C105" s="171">
        <f t="shared" ref="C105" si="57">C97-SUM(C98:C104)</f>
        <v>2399</v>
      </c>
      <c r="D105" s="171">
        <f t="shared" ref="D105:E105" si="58">D97-SUM(D98:D104)</f>
        <v>3715</v>
      </c>
      <c r="E105" s="171">
        <f t="shared" si="58"/>
        <v>6087</v>
      </c>
      <c r="F105" s="171">
        <f t="shared" ref="F105:H105" si="59">F97-SUM(F98:F104)</f>
        <v>7930</v>
      </c>
      <c r="G105" s="171">
        <f t="shared" si="59"/>
        <v>8168</v>
      </c>
      <c r="H105" s="171">
        <f t="shared" si="59"/>
        <v>8674</v>
      </c>
      <c r="I105" s="182">
        <f t="shared" si="56"/>
        <v>6.1949069539666946E-2</v>
      </c>
      <c r="J105" s="172">
        <f t="shared" si="53"/>
        <v>1.3348586810228804</v>
      </c>
      <c r="K105" s="171">
        <f>H105-G105</f>
        <v>506</v>
      </c>
      <c r="L105" s="171">
        <f t="shared" si="55"/>
        <v>4959</v>
      </c>
      <c r="M105" s="172">
        <f t="shared" si="52"/>
        <v>1.5911894260197811E-3</v>
      </c>
    </row>
    <row r="106" spans="2:13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6"/>
      <c r="L106" s="155"/>
      <c r="M106" s="155"/>
    </row>
    <row r="107" spans="2:13" x14ac:dyDescent="0.25">
      <c r="B107" s="158" t="s">
        <v>71</v>
      </c>
      <c r="C107" s="178">
        <v>76081</v>
      </c>
      <c r="D107" s="178">
        <v>107459</v>
      </c>
      <c r="E107" s="178">
        <v>198873</v>
      </c>
      <c r="F107" s="178">
        <v>252588</v>
      </c>
      <c r="G107" s="178">
        <v>239146</v>
      </c>
      <c r="H107" s="178">
        <v>250668</v>
      </c>
      <c r="I107" s="179">
        <f>IFERROR(H107/G107-1,"-")</f>
        <v>4.8179773025682993E-2</v>
      </c>
      <c r="J107" s="179">
        <f>IFERROR(H107/D107-1,"-")</f>
        <v>1.3326850240556865</v>
      </c>
      <c r="K107" s="178">
        <f>H107-G107</f>
        <v>11522</v>
      </c>
      <c r="L107" s="178">
        <f>H107-D107</f>
        <v>143209</v>
      </c>
      <c r="M107" s="179">
        <f t="shared" ref="M107:M119" si="60">H107/H$9</f>
        <v>4.5983429910252074E-2</v>
      </c>
    </row>
    <row r="108" spans="2:13" x14ac:dyDescent="0.25">
      <c r="B108" s="161" t="s">
        <v>100</v>
      </c>
      <c r="C108" s="162">
        <v>30342</v>
      </c>
      <c r="D108" s="162">
        <v>44398</v>
      </c>
      <c r="E108" s="162">
        <v>48630</v>
      </c>
      <c r="F108" s="162">
        <v>55684</v>
      </c>
      <c r="G108" s="162">
        <v>49807</v>
      </c>
      <c r="H108" s="162">
        <v>52122</v>
      </c>
      <c r="I108" s="180">
        <f>IFERROR(H108/G108-1,"-")</f>
        <v>4.647941052462512E-2</v>
      </c>
      <c r="J108" s="163">
        <f t="shared" ref="J108:J119" si="61">IFERROR(H108/D108-1,"-")</f>
        <v>0.17397180053155537</v>
      </c>
      <c r="K108" s="162">
        <f t="shared" ref="K108:K118" si="62">H108-G108</f>
        <v>2315</v>
      </c>
      <c r="L108" s="162">
        <f t="shared" ref="L108:L119" si="63">H108-D108</f>
        <v>7724</v>
      </c>
      <c r="M108" s="163">
        <f t="shared" si="60"/>
        <v>9.5614451536780061E-3</v>
      </c>
    </row>
    <row r="109" spans="2:13" x14ac:dyDescent="0.25">
      <c r="B109" s="165" t="s">
        <v>106</v>
      </c>
      <c r="C109" s="166">
        <v>4832</v>
      </c>
      <c r="D109" s="166">
        <v>24120</v>
      </c>
      <c r="E109" s="166">
        <v>16359</v>
      </c>
      <c r="F109" s="166">
        <v>19520</v>
      </c>
      <c r="G109" s="166">
        <v>16099</v>
      </c>
      <c r="H109" s="166">
        <v>20486</v>
      </c>
      <c r="I109" s="181">
        <f>IFERROR(H109/G109-1,"-")</f>
        <v>0.2725013976023356</v>
      </c>
      <c r="J109" s="167">
        <f t="shared" si="61"/>
        <v>-0.1506633499170813</v>
      </c>
      <c r="K109" s="166">
        <f t="shared" si="62"/>
        <v>4387</v>
      </c>
      <c r="L109" s="166">
        <f t="shared" si="63"/>
        <v>-3634</v>
      </c>
      <c r="M109" s="167">
        <f t="shared" si="60"/>
        <v>3.7580247384645187E-3</v>
      </c>
    </row>
    <row r="110" spans="2:13" x14ac:dyDescent="0.25">
      <c r="B110" s="165" t="s">
        <v>103</v>
      </c>
      <c r="C110" s="166">
        <v>25510</v>
      </c>
      <c r="D110" s="166">
        <v>20278</v>
      </c>
      <c r="E110" s="166">
        <v>32271</v>
      </c>
      <c r="F110" s="166">
        <v>36164</v>
      </c>
      <c r="G110" s="166">
        <v>33708</v>
      </c>
      <c r="H110" s="166">
        <v>31636</v>
      </c>
      <c r="I110" s="181">
        <f>IFERROR(H110/G110-1,"-")</f>
        <v>-6.146908745698354E-2</v>
      </c>
      <c r="J110" s="167">
        <f t="shared" si="61"/>
        <v>0.56011440970509918</v>
      </c>
      <c r="K110" s="166">
        <f t="shared" si="62"/>
        <v>-2072</v>
      </c>
      <c r="L110" s="166">
        <f t="shared" si="63"/>
        <v>11358</v>
      </c>
      <c r="M110" s="167">
        <f t="shared" si="60"/>
        <v>5.8034204152134878E-3</v>
      </c>
    </row>
    <row r="111" spans="2:13" x14ac:dyDescent="0.25">
      <c r="B111" s="161" t="s">
        <v>110</v>
      </c>
      <c r="C111" s="162">
        <v>45739</v>
      </c>
      <c r="D111" s="162">
        <v>63061</v>
      </c>
      <c r="E111" s="162">
        <v>150243</v>
      </c>
      <c r="F111" s="162">
        <v>196904</v>
      </c>
      <c r="G111" s="162">
        <v>189339</v>
      </c>
      <c r="H111" s="162">
        <v>198546</v>
      </c>
      <c r="I111" s="180">
        <f>IFERROR(H111/G111-1,"-")</f>
        <v>4.8627065739229591E-2</v>
      </c>
      <c r="J111" s="163">
        <f t="shared" si="61"/>
        <v>2.1484752858343508</v>
      </c>
      <c r="K111" s="162">
        <f t="shared" si="62"/>
        <v>9207</v>
      </c>
      <c r="L111" s="162">
        <f t="shared" si="63"/>
        <v>135485</v>
      </c>
      <c r="M111" s="163">
        <f t="shared" si="60"/>
        <v>3.6421984756574065E-2</v>
      </c>
    </row>
    <row r="112" spans="2:13" x14ac:dyDescent="0.25">
      <c r="B112" s="165" t="s">
        <v>113</v>
      </c>
      <c r="C112" s="166">
        <v>25534</v>
      </c>
      <c r="D112" s="166">
        <v>26812</v>
      </c>
      <c r="E112" s="166">
        <v>90804</v>
      </c>
      <c r="F112" s="166">
        <v>128108</v>
      </c>
      <c r="G112" s="166">
        <v>116734</v>
      </c>
      <c r="H112" s="166">
        <v>118438</v>
      </c>
      <c r="I112" s="181">
        <f t="shared" ref="I112:I119" si="64">IFERROR(H112/G112-1,"-")</f>
        <v>1.4597289564308502E-2</v>
      </c>
      <c r="J112" s="167">
        <f t="shared" si="61"/>
        <v>3.4173504401014467</v>
      </c>
      <c r="K112" s="166">
        <f t="shared" si="62"/>
        <v>1704</v>
      </c>
      <c r="L112" s="166">
        <f t="shared" si="63"/>
        <v>91626</v>
      </c>
      <c r="M112" s="167">
        <f t="shared" si="60"/>
        <v>2.1726688176035375E-2</v>
      </c>
    </row>
    <row r="113" spans="2:13" x14ac:dyDescent="0.25">
      <c r="B113" s="165" t="s">
        <v>116</v>
      </c>
      <c r="C113" s="166">
        <v>3175</v>
      </c>
      <c r="D113" s="166">
        <v>7197</v>
      </c>
      <c r="E113" s="166">
        <v>6944</v>
      </c>
      <c r="F113" s="166">
        <v>8880</v>
      </c>
      <c r="G113" s="166">
        <v>8516</v>
      </c>
      <c r="H113" s="166">
        <v>9837</v>
      </c>
      <c r="I113" s="181">
        <f t="shared" si="64"/>
        <v>0.15511977454203851</v>
      </c>
      <c r="J113" s="167">
        <f t="shared" si="61"/>
        <v>0.36681950812838693</v>
      </c>
      <c r="K113" s="166">
        <f t="shared" si="62"/>
        <v>1321</v>
      </c>
      <c r="L113" s="166">
        <f t="shared" si="63"/>
        <v>2640</v>
      </c>
      <c r="M113" s="167">
        <f t="shared" si="60"/>
        <v>1.8045342845004135E-3</v>
      </c>
    </row>
    <row r="114" spans="2:13" x14ac:dyDescent="0.25">
      <c r="B114" s="165" t="s">
        <v>119</v>
      </c>
      <c r="C114" s="166">
        <v>2482</v>
      </c>
      <c r="D114" s="166">
        <v>6746</v>
      </c>
      <c r="E114" s="166">
        <v>9830</v>
      </c>
      <c r="F114" s="166">
        <v>13414</v>
      </c>
      <c r="G114" s="166">
        <v>14245</v>
      </c>
      <c r="H114" s="166">
        <v>15602</v>
      </c>
      <c r="I114" s="181">
        <f t="shared" si="64"/>
        <v>9.5261495261495188E-2</v>
      </c>
      <c r="J114" s="167">
        <f t="shared" si="61"/>
        <v>1.312777942484435</v>
      </c>
      <c r="K114" s="166">
        <f t="shared" si="62"/>
        <v>1357</v>
      </c>
      <c r="L114" s="166">
        <f t="shared" si="63"/>
        <v>8856</v>
      </c>
      <c r="M114" s="167">
        <f t="shared" si="60"/>
        <v>2.8620863989809345E-3</v>
      </c>
    </row>
    <row r="115" spans="2:13" x14ac:dyDescent="0.25">
      <c r="B115" s="165" t="s">
        <v>126</v>
      </c>
      <c r="C115" s="166">
        <v>1262</v>
      </c>
      <c r="D115" s="166">
        <v>3663</v>
      </c>
      <c r="E115" s="166">
        <v>6290</v>
      </c>
      <c r="F115" s="166">
        <v>6514</v>
      </c>
      <c r="G115" s="166">
        <v>6482</v>
      </c>
      <c r="H115" s="166">
        <v>6405</v>
      </c>
      <c r="I115" s="181">
        <f t="shared" si="64"/>
        <v>-1.1879049676025932E-2</v>
      </c>
      <c r="J115" s="167">
        <f t="shared" si="61"/>
        <v>0.74856674856674865</v>
      </c>
      <c r="K115" s="166">
        <f t="shared" si="62"/>
        <v>-77</v>
      </c>
      <c r="L115" s="166">
        <f t="shared" si="63"/>
        <v>2742</v>
      </c>
      <c r="M115" s="167">
        <f t="shared" si="60"/>
        <v>1.1749559918903271E-3</v>
      </c>
    </row>
    <row r="116" spans="2:13" x14ac:dyDescent="0.25">
      <c r="B116" s="165" t="s">
        <v>122</v>
      </c>
      <c r="C116" s="166">
        <v>2813</v>
      </c>
      <c r="D116" s="166">
        <v>4368</v>
      </c>
      <c r="E116" s="166">
        <v>4750</v>
      </c>
      <c r="F116" s="166">
        <v>5340</v>
      </c>
      <c r="G116" s="166">
        <v>5146</v>
      </c>
      <c r="H116" s="166">
        <v>4828</v>
      </c>
      <c r="I116" s="181">
        <f t="shared" si="64"/>
        <v>-6.1795569374271331E-2</v>
      </c>
      <c r="J116" s="167">
        <f t="shared" si="61"/>
        <v>0.10531135531135538</v>
      </c>
      <c r="K116" s="166">
        <f t="shared" si="62"/>
        <v>-318</v>
      </c>
      <c r="L116" s="166">
        <f t="shared" si="63"/>
        <v>460</v>
      </c>
      <c r="M116" s="167">
        <f t="shared" si="60"/>
        <v>8.8566550021022632E-4</v>
      </c>
    </row>
    <row r="117" spans="2:13" x14ac:dyDescent="0.25">
      <c r="B117" s="165" t="s">
        <v>131</v>
      </c>
      <c r="C117" s="166">
        <v>406</v>
      </c>
      <c r="D117" s="166">
        <v>369</v>
      </c>
      <c r="E117" s="166">
        <v>1261</v>
      </c>
      <c r="F117" s="166">
        <v>1457</v>
      </c>
      <c r="G117" s="166">
        <v>1177</v>
      </c>
      <c r="H117" s="166">
        <v>1362</v>
      </c>
      <c r="I117" s="181">
        <f t="shared" si="64"/>
        <v>0.15717926932880211</v>
      </c>
      <c r="J117" s="167">
        <f t="shared" si="61"/>
        <v>2.6910569105691056</v>
      </c>
      <c r="K117" s="166">
        <f t="shared" si="62"/>
        <v>185</v>
      </c>
      <c r="L117" s="166">
        <f t="shared" si="63"/>
        <v>993</v>
      </c>
      <c r="M117" s="167">
        <f t="shared" si="60"/>
        <v>2.4985012661274403E-4</v>
      </c>
    </row>
    <row r="118" spans="2:13" x14ac:dyDescent="0.25">
      <c r="B118" s="165" t="s">
        <v>134</v>
      </c>
      <c r="C118" s="166">
        <v>932</v>
      </c>
      <c r="D118" s="166">
        <v>521</v>
      </c>
      <c r="E118" s="166">
        <v>980</v>
      </c>
      <c r="F118" s="166">
        <v>944</v>
      </c>
      <c r="G118" s="166">
        <v>1508</v>
      </c>
      <c r="H118" s="166">
        <v>1010</v>
      </c>
      <c r="I118" s="181">
        <f t="shared" si="64"/>
        <v>-0.33023872679045096</v>
      </c>
      <c r="J118" s="167">
        <f t="shared" si="61"/>
        <v>0.93857965451055669</v>
      </c>
      <c r="K118" s="166">
        <f t="shared" si="62"/>
        <v>-498</v>
      </c>
      <c r="L118" s="166">
        <f t="shared" si="63"/>
        <v>489</v>
      </c>
      <c r="M118" s="167">
        <f t="shared" si="60"/>
        <v>1.8527799403735058E-4</v>
      </c>
    </row>
    <row r="119" spans="2:13" x14ac:dyDescent="0.25">
      <c r="B119" s="170" t="s">
        <v>148</v>
      </c>
      <c r="C119" s="171">
        <f t="shared" ref="C119" si="65">C111-SUM(C112:C118)</f>
        <v>9135</v>
      </c>
      <c r="D119" s="171">
        <f t="shared" ref="D119:E119" si="66">D111-SUM(D112:D118)</f>
        <v>13385</v>
      </c>
      <c r="E119" s="171">
        <f t="shared" si="66"/>
        <v>29384</v>
      </c>
      <c r="F119" s="171">
        <f t="shared" ref="F119:H119" si="67">F111-SUM(F112:F118)</f>
        <v>32247</v>
      </c>
      <c r="G119" s="171">
        <f t="shared" si="67"/>
        <v>35531</v>
      </c>
      <c r="H119" s="171">
        <f t="shared" si="67"/>
        <v>41064</v>
      </c>
      <c r="I119" s="182">
        <f t="shared" si="64"/>
        <v>0.15572317131518965</v>
      </c>
      <c r="J119" s="172">
        <f t="shared" si="61"/>
        <v>2.0679118416137467</v>
      </c>
      <c r="K119" s="171">
        <f>H119-G119</f>
        <v>5533</v>
      </c>
      <c r="L119" s="171">
        <f t="shared" si="63"/>
        <v>27679</v>
      </c>
      <c r="M119" s="172">
        <f t="shared" si="60"/>
        <v>7.5329262843066968E-3</v>
      </c>
    </row>
    <row r="120" spans="2:13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6"/>
      <c r="L120" s="155"/>
      <c r="M120" s="155"/>
    </row>
    <row r="121" spans="2:13" x14ac:dyDescent="0.25">
      <c r="B121" s="158" t="s">
        <v>71</v>
      </c>
      <c r="C121" s="178">
        <v>91416</v>
      </c>
      <c r="D121" s="178">
        <v>164258</v>
      </c>
      <c r="E121" s="178">
        <v>229131</v>
      </c>
      <c r="F121" s="178">
        <v>240044</v>
      </c>
      <c r="G121" s="178">
        <v>250407</v>
      </c>
      <c r="H121" s="178">
        <v>282601</v>
      </c>
      <c r="I121" s="179">
        <f>IFERROR(H121/G121-1,"-")</f>
        <v>0.12856669342310711</v>
      </c>
      <c r="J121" s="179">
        <f>IFERROR(H121/D121-1,"-")</f>
        <v>0.72047023584848224</v>
      </c>
      <c r="K121" s="178">
        <f>H121-G121</f>
        <v>32194</v>
      </c>
      <c r="L121" s="178">
        <f>H121-D121</f>
        <v>118343</v>
      </c>
      <c r="M121" s="179">
        <f t="shared" ref="M121:M133" si="68">H121/H$9</f>
        <v>5.184133306232605E-2</v>
      </c>
    </row>
    <row r="122" spans="2:13" x14ac:dyDescent="0.25">
      <c r="B122" s="161" t="s">
        <v>100</v>
      </c>
      <c r="C122" s="162">
        <v>52879</v>
      </c>
      <c r="D122" s="162">
        <v>104557</v>
      </c>
      <c r="E122" s="162">
        <v>134886</v>
      </c>
      <c r="F122" s="162">
        <v>147214</v>
      </c>
      <c r="G122" s="162">
        <v>155988</v>
      </c>
      <c r="H122" s="162">
        <v>178403</v>
      </c>
      <c r="I122" s="180">
        <f>IFERROR(H122/G122-1,"-")</f>
        <v>0.14369695104751656</v>
      </c>
      <c r="J122" s="163">
        <f t="shared" ref="J122:J133" si="69">IFERROR(H122/D122-1,"-")</f>
        <v>0.7062750461470777</v>
      </c>
      <c r="K122" s="162">
        <f t="shared" ref="K122:K132" si="70">H122-G122</f>
        <v>22415</v>
      </c>
      <c r="L122" s="162">
        <f t="shared" ref="L122:L133" si="71">H122-D122</f>
        <v>73846</v>
      </c>
      <c r="M122" s="163">
        <f t="shared" si="68"/>
        <v>3.2726881158658863E-2</v>
      </c>
    </row>
    <row r="123" spans="2:13" x14ac:dyDescent="0.25">
      <c r="B123" s="165" t="s">
        <v>106</v>
      </c>
      <c r="C123" s="166">
        <v>24076</v>
      </c>
      <c r="D123" s="166">
        <v>53247</v>
      </c>
      <c r="E123" s="166">
        <v>69865</v>
      </c>
      <c r="F123" s="166">
        <v>67025</v>
      </c>
      <c r="G123" s="166">
        <v>75188</v>
      </c>
      <c r="H123" s="166">
        <v>93462</v>
      </c>
      <c r="I123" s="181">
        <f>IFERROR(H123/G123-1,"-")</f>
        <v>0.24304410278235888</v>
      </c>
      <c r="J123" s="167">
        <f t="shared" si="69"/>
        <v>0.75525381711645734</v>
      </c>
      <c r="K123" s="166">
        <f t="shared" si="70"/>
        <v>18274</v>
      </c>
      <c r="L123" s="166">
        <f t="shared" si="71"/>
        <v>40215</v>
      </c>
      <c r="M123" s="167">
        <f t="shared" si="68"/>
        <v>1.7145001860117682E-2</v>
      </c>
    </row>
    <row r="124" spans="2:13" x14ac:dyDescent="0.25">
      <c r="B124" s="165" t="s">
        <v>103</v>
      </c>
      <c r="C124" s="166">
        <v>28803</v>
      </c>
      <c r="D124" s="166">
        <v>51310</v>
      </c>
      <c r="E124" s="166">
        <v>65021</v>
      </c>
      <c r="F124" s="166">
        <v>80189</v>
      </c>
      <c r="G124" s="166">
        <v>80800</v>
      </c>
      <c r="H124" s="166">
        <v>84941</v>
      </c>
      <c r="I124" s="181">
        <f>IFERROR(H124/G124-1,"-")</f>
        <v>5.1250000000000018E-2</v>
      </c>
      <c r="J124" s="167">
        <f t="shared" si="69"/>
        <v>0.65544728123172868</v>
      </c>
      <c r="K124" s="166">
        <f t="shared" si="70"/>
        <v>4141</v>
      </c>
      <c r="L124" s="166">
        <f t="shared" si="71"/>
        <v>33631</v>
      </c>
      <c r="M124" s="167">
        <f t="shared" si="68"/>
        <v>1.5581879298541183E-2</v>
      </c>
    </row>
    <row r="125" spans="2:13" x14ac:dyDescent="0.25">
      <c r="B125" s="161" t="s">
        <v>110</v>
      </c>
      <c r="C125" s="162">
        <v>38537</v>
      </c>
      <c r="D125" s="162">
        <v>59701</v>
      </c>
      <c r="E125" s="162">
        <v>94245</v>
      </c>
      <c r="F125" s="162">
        <v>92830</v>
      </c>
      <c r="G125" s="162">
        <v>94419</v>
      </c>
      <c r="H125" s="162">
        <v>104198</v>
      </c>
      <c r="I125" s="180">
        <f>IFERROR(H125/G125-1,"-")</f>
        <v>0.10357025598661296</v>
      </c>
      <c r="J125" s="163">
        <f t="shared" si="69"/>
        <v>0.74533089897991656</v>
      </c>
      <c r="K125" s="162">
        <f t="shared" si="70"/>
        <v>9779</v>
      </c>
      <c r="L125" s="162">
        <f t="shared" si="71"/>
        <v>44497</v>
      </c>
      <c r="M125" s="163">
        <f t="shared" si="68"/>
        <v>1.9114451903667184E-2</v>
      </c>
    </row>
    <row r="126" spans="2:13" x14ac:dyDescent="0.25">
      <c r="B126" s="165" t="s">
        <v>113</v>
      </c>
      <c r="C126" s="166">
        <v>3706</v>
      </c>
      <c r="D126" s="166">
        <v>3336</v>
      </c>
      <c r="E126" s="166">
        <v>9917</v>
      </c>
      <c r="F126" s="166">
        <v>11654</v>
      </c>
      <c r="G126" s="166">
        <v>10678</v>
      </c>
      <c r="H126" s="166">
        <v>10456</v>
      </c>
      <c r="I126" s="181">
        <f t="shared" ref="I126:I133" si="72">IFERROR(H126/G126-1,"-")</f>
        <v>-2.0790410189174047E-2</v>
      </c>
      <c r="J126" s="167">
        <f t="shared" si="69"/>
        <v>2.1342925659472423</v>
      </c>
      <c r="K126" s="166">
        <f t="shared" si="70"/>
        <v>-222</v>
      </c>
      <c r="L126" s="166">
        <f t="shared" si="71"/>
        <v>7120</v>
      </c>
      <c r="M126" s="167">
        <f t="shared" si="68"/>
        <v>1.9180858471827104E-3</v>
      </c>
    </row>
    <row r="127" spans="2:13" x14ac:dyDescent="0.25">
      <c r="B127" s="165" t="s">
        <v>116</v>
      </c>
      <c r="C127" s="166">
        <v>3876</v>
      </c>
      <c r="D127" s="166">
        <v>7314</v>
      </c>
      <c r="E127" s="166">
        <v>11261</v>
      </c>
      <c r="F127" s="166">
        <v>13315</v>
      </c>
      <c r="G127" s="166">
        <v>13141</v>
      </c>
      <c r="H127" s="166">
        <v>15417</v>
      </c>
      <c r="I127" s="181">
        <f t="shared" si="72"/>
        <v>0.17319838672855936</v>
      </c>
      <c r="J127" s="167">
        <f t="shared" si="69"/>
        <v>1.1078753076292043</v>
      </c>
      <c r="K127" s="166">
        <f t="shared" si="70"/>
        <v>2276</v>
      </c>
      <c r="L127" s="166">
        <f t="shared" si="71"/>
        <v>8103</v>
      </c>
      <c r="M127" s="167">
        <f t="shared" si="68"/>
        <v>2.8281493406671623E-3</v>
      </c>
    </row>
    <row r="128" spans="2:13" x14ac:dyDescent="0.25">
      <c r="B128" s="165" t="s">
        <v>119</v>
      </c>
      <c r="C128" s="166">
        <v>2774</v>
      </c>
      <c r="D128" s="166">
        <v>7134</v>
      </c>
      <c r="E128" s="166">
        <v>8524</v>
      </c>
      <c r="F128" s="166">
        <v>8780</v>
      </c>
      <c r="G128" s="166">
        <v>8587</v>
      </c>
      <c r="H128" s="166">
        <v>9534</v>
      </c>
      <c r="I128" s="181">
        <f t="shared" si="72"/>
        <v>0.11028298590893204</v>
      </c>
      <c r="J128" s="167">
        <f t="shared" si="69"/>
        <v>0.33641715727502097</v>
      </c>
      <c r="K128" s="166">
        <f t="shared" si="70"/>
        <v>947</v>
      </c>
      <c r="L128" s="166">
        <f t="shared" si="71"/>
        <v>2400</v>
      </c>
      <c r="M128" s="167">
        <f t="shared" si="68"/>
        <v>1.7489508862892082E-3</v>
      </c>
    </row>
    <row r="129" spans="2:13" x14ac:dyDescent="0.25">
      <c r="B129" s="165" t="s">
        <v>126</v>
      </c>
      <c r="C129" s="166">
        <v>715</v>
      </c>
      <c r="D129" s="166">
        <v>1333</v>
      </c>
      <c r="E129" s="166">
        <v>2573</v>
      </c>
      <c r="F129" s="166">
        <v>2637</v>
      </c>
      <c r="G129" s="166">
        <v>2356</v>
      </c>
      <c r="H129" s="166">
        <v>2766</v>
      </c>
      <c r="I129" s="181">
        <f t="shared" si="72"/>
        <v>0.17402376910016981</v>
      </c>
      <c r="J129" s="167">
        <f t="shared" si="69"/>
        <v>1.075018754688672</v>
      </c>
      <c r="K129" s="166">
        <f t="shared" si="70"/>
        <v>410</v>
      </c>
      <c r="L129" s="166">
        <f t="shared" si="71"/>
        <v>1433</v>
      </c>
      <c r="M129" s="167">
        <f t="shared" si="68"/>
        <v>5.0740488268050663E-4</v>
      </c>
    </row>
    <row r="130" spans="2:13" x14ac:dyDescent="0.25">
      <c r="B130" s="165" t="s">
        <v>122</v>
      </c>
      <c r="C130" s="166">
        <v>756</v>
      </c>
      <c r="D130" s="166">
        <v>1357</v>
      </c>
      <c r="E130" s="166">
        <v>1836</v>
      </c>
      <c r="F130" s="166">
        <v>1935</v>
      </c>
      <c r="G130" s="166">
        <v>2097</v>
      </c>
      <c r="H130" s="166">
        <v>2540</v>
      </c>
      <c r="I130" s="181">
        <f t="shared" si="72"/>
        <v>0.21125417262756319</v>
      </c>
      <c r="J130" s="167">
        <f t="shared" si="69"/>
        <v>0.87177597641857041</v>
      </c>
      <c r="K130" s="166">
        <f t="shared" si="70"/>
        <v>443</v>
      </c>
      <c r="L130" s="166">
        <f t="shared" si="71"/>
        <v>1183</v>
      </c>
      <c r="M130" s="167">
        <f t="shared" si="68"/>
        <v>4.6594663847016878E-4</v>
      </c>
    </row>
    <row r="131" spans="2:13" x14ac:dyDescent="0.25">
      <c r="B131" s="165" t="s">
        <v>131</v>
      </c>
      <c r="C131" s="166">
        <v>671</v>
      </c>
      <c r="D131" s="166">
        <v>555</v>
      </c>
      <c r="E131" s="166">
        <v>1075</v>
      </c>
      <c r="F131" s="166">
        <v>1342</v>
      </c>
      <c r="G131" s="166">
        <v>1334</v>
      </c>
      <c r="H131" s="166">
        <v>1128</v>
      </c>
      <c r="I131" s="181">
        <f t="shared" si="72"/>
        <v>-0.15442278860569714</v>
      </c>
      <c r="J131" s="167">
        <f t="shared" si="69"/>
        <v>1.0324324324324325</v>
      </c>
      <c r="K131" s="166">
        <f t="shared" si="70"/>
        <v>-206</v>
      </c>
      <c r="L131" s="166">
        <f t="shared" si="71"/>
        <v>573</v>
      </c>
      <c r="M131" s="167">
        <f t="shared" si="68"/>
        <v>2.0692433393478362E-4</v>
      </c>
    </row>
    <row r="132" spans="2:13" x14ac:dyDescent="0.25">
      <c r="B132" s="165" t="s">
        <v>134</v>
      </c>
      <c r="C132" s="166">
        <v>1081</v>
      </c>
      <c r="D132" s="166">
        <v>919</v>
      </c>
      <c r="E132" s="166">
        <v>1885</v>
      </c>
      <c r="F132" s="166">
        <v>2455</v>
      </c>
      <c r="G132" s="166">
        <v>2502</v>
      </c>
      <c r="H132" s="166">
        <v>2367</v>
      </c>
      <c r="I132" s="181">
        <f t="shared" si="72"/>
        <v>-5.3956834532374098E-2</v>
      </c>
      <c r="J132" s="167">
        <f t="shared" si="69"/>
        <v>1.5756256800870512</v>
      </c>
      <c r="K132" s="166">
        <f t="shared" si="70"/>
        <v>-135</v>
      </c>
      <c r="L132" s="166">
        <f t="shared" si="71"/>
        <v>1448</v>
      </c>
      <c r="M132" s="167">
        <f t="shared" si="68"/>
        <v>4.3421090285783052E-4</v>
      </c>
    </row>
    <row r="133" spans="2:13" x14ac:dyDescent="0.25">
      <c r="B133" s="170" t="s">
        <v>148</v>
      </c>
      <c r="C133" s="171">
        <f t="shared" ref="C133" si="73">C125-SUM(C126:C132)</f>
        <v>24958</v>
      </c>
      <c r="D133" s="171">
        <f t="shared" ref="D133:E133" si="74">D125-SUM(D126:D132)</f>
        <v>37753</v>
      </c>
      <c r="E133" s="171">
        <f t="shared" si="74"/>
        <v>57174</v>
      </c>
      <c r="F133" s="171">
        <f t="shared" ref="F133:H133" si="75">F125-SUM(F126:F132)</f>
        <v>50712</v>
      </c>
      <c r="G133" s="171">
        <f t="shared" si="75"/>
        <v>53724</v>
      </c>
      <c r="H133" s="171">
        <f t="shared" si="75"/>
        <v>59990</v>
      </c>
      <c r="I133" s="182">
        <f t="shared" si="72"/>
        <v>0.11663316208770746</v>
      </c>
      <c r="J133" s="172">
        <f t="shared" si="69"/>
        <v>0.58901279368527004</v>
      </c>
      <c r="K133" s="171">
        <f>H133-G133</f>
        <v>6266</v>
      </c>
      <c r="L133" s="171">
        <f t="shared" si="71"/>
        <v>22237</v>
      </c>
      <c r="M133" s="172">
        <f t="shared" si="68"/>
        <v>1.1004779071584814E-2</v>
      </c>
    </row>
    <row r="134" spans="2:13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6"/>
      <c r="L134" s="155"/>
      <c r="M134" s="155"/>
    </row>
    <row r="135" spans="2:13" x14ac:dyDescent="0.25">
      <c r="B135" s="158" t="s">
        <v>71</v>
      </c>
      <c r="C135" s="178">
        <v>89173</v>
      </c>
      <c r="D135" s="178">
        <v>140346</v>
      </c>
      <c r="E135" s="178">
        <v>257117</v>
      </c>
      <c r="F135" s="178">
        <v>280769</v>
      </c>
      <c r="G135" s="178">
        <v>288350</v>
      </c>
      <c r="H135" s="178">
        <v>287664</v>
      </c>
      <c r="I135" s="179">
        <f>IFERROR(H135/G135-1,"-")</f>
        <v>-2.3790532339170722E-3</v>
      </c>
      <c r="J135" s="179">
        <f>IFERROR(H135/D135-1,"-")</f>
        <v>1.0496772262836132</v>
      </c>
      <c r="K135" s="178">
        <f>H135-G135</f>
        <v>-686</v>
      </c>
      <c r="L135" s="178">
        <f>H135-D135</f>
        <v>147318</v>
      </c>
      <c r="M135" s="179">
        <f t="shared" ref="M135:M147" si="76">H135/H$9</f>
        <v>5.277010779877269E-2</v>
      </c>
    </row>
    <row r="136" spans="2:13" x14ac:dyDescent="0.25">
      <c r="B136" s="161" t="s">
        <v>100</v>
      </c>
      <c r="C136" s="162">
        <v>21825</v>
      </c>
      <c r="D136" s="162">
        <v>45216</v>
      </c>
      <c r="E136" s="162">
        <v>29061</v>
      </c>
      <c r="F136" s="162">
        <v>33671</v>
      </c>
      <c r="G136" s="162">
        <v>29209</v>
      </c>
      <c r="H136" s="162">
        <v>32990</v>
      </c>
      <c r="I136" s="180">
        <f>IFERROR(H136/G136-1,"-")</f>
        <v>0.12944640350576875</v>
      </c>
      <c r="J136" s="163">
        <f t="shared" ref="J136:J147" si="77">IFERROR(H136/D136-1,"-")</f>
        <v>-0.27039101203113947</v>
      </c>
      <c r="K136" s="162">
        <f t="shared" ref="K136:K146" si="78">H136-G136</f>
        <v>3781</v>
      </c>
      <c r="L136" s="162">
        <f t="shared" ref="L136:L147" si="79">H136-D136</f>
        <v>-12226</v>
      </c>
      <c r="M136" s="163">
        <f t="shared" si="76"/>
        <v>6.0518029933586091E-3</v>
      </c>
    </row>
    <row r="137" spans="2:13" x14ac:dyDescent="0.25">
      <c r="B137" s="165" t="s">
        <v>106</v>
      </c>
      <c r="C137" s="166">
        <v>16209</v>
      </c>
      <c r="D137" s="166">
        <v>34195</v>
      </c>
      <c r="E137" s="166">
        <v>19943</v>
      </c>
      <c r="F137" s="166">
        <v>22352</v>
      </c>
      <c r="G137" s="166">
        <v>18376</v>
      </c>
      <c r="H137" s="166">
        <v>19606</v>
      </c>
      <c r="I137" s="181">
        <f>IFERROR(H137/G137-1,"-")</f>
        <v>6.693513278188945E-2</v>
      </c>
      <c r="J137" s="167">
        <f t="shared" si="77"/>
        <v>-0.42664132183067704</v>
      </c>
      <c r="K137" s="166">
        <f t="shared" si="78"/>
        <v>1230</v>
      </c>
      <c r="L137" s="166">
        <f t="shared" si="79"/>
        <v>-14589</v>
      </c>
      <c r="M137" s="167">
        <f t="shared" si="76"/>
        <v>3.5965944070260351E-3</v>
      </c>
    </row>
    <row r="138" spans="2:13" x14ac:dyDescent="0.25">
      <c r="B138" s="165" t="s">
        <v>103</v>
      </c>
      <c r="C138" s="166">
        <v>5616</v>
      </c>
      <c r="D138" s="166">
        <v>11021</v>
      </c>
      <c r="E138" s="166">
        <v>9118</v>
      </c>
      <c r="F138" s="166">
        <v>11319</v>
      </c>
      <c r="G138" s="166">
        <v>10833</v>
      </c>
      <c r="H138" s="166">
        <v>13384</v>
      </c>
      <c r="I138" s="181">
        <f>IFERROR(H138/G138-1,"-")</f>
        <v>0.23548416874365374</v>
      </c>
      <c r="J138" s="167">
        <f t="shared" si="77"/>
        <v>0.21440885582070601</v>
      </c>
      <c r="K138" s="166">
        <f t="shared" si="78"/>
        <v>2551</v>
      </c>
      <c r="L138" s="166">
        <f t="shared" si="79"/>
        <v>2363</v>
      </c>
      <c r="M138" s="167">
        <f t="shared" si="76"/>
        <v>2.4552085863325745E-3</v>
      </c>
    </row>
    <row r="139" spans="2:13" x14ac:dyDescent="0.25">
      <c r="B139" s="161" t="s">
        <v>110</v>
      </c>
      <c r="C139" s="162">
        <v>67348</v>
      </c>
      <c r="D139" s="162">
        <v>95130</v>
      </c>
      <c r="E139" s="162">
        <v>228056</v>
      </c>
      <c r="F139" s="162">
        <v>247098</v>
      </c>
      <c r="G139" s="162">
        <v>259141</v>
      </c>
      <c r="H139" s="162">
        <v>254674</v>
      </c>
      <c r="I139" s="180">
        <f>IFERROR(H139/G139-1,"-")</f>
        <v>-1.7237720005711221E-2</v>
      </c>
      <c r="J139" s="163">
        <f t="shared" si="77"/>
        <v>1.6771155261221486</v>
      </c>
      <c r="K139" s="162">
        <f t="shared" si="78"/>
        <v>-4467</v>
      </c>
      <c r="L139" s="162">
        <f t="shared" si="79"/>
        <v>159544</v>
      </c>
      <c r="M139" s="163">
        <f t="shared" si="76"/>
        <v>4.6718304805414078E-2</v>
      </c>
    </row>
    <row r="140" spans="2:13" x14ac:dyDescent="0.25">
      <c r="B140" s="165" t="s">
        <v>113</v>
      </c>
      <c r="C140" s="166">
        <v>25577</v>
      </c>
      <c r="D140" s="166">
        <v>26467</v>
      </c>
      <c r="E140" s="166">
        <v>96562</v>
      </c>
      <c r="F140" s="166">
        <v>105994</v>
      </c>
      <c r="G140" s="166">
        <v>116401</v>
      </c>
      <c r="H140" s="166">
        <v>115809</v>
      </c>
      <c r="I140" s="181">
        <f t="shared" ref="I140:I147" si="80">IFERROR(H140/G140-1,"-")</f>
        <v>-5.0858669599058715E-3</v>
      </c>
      <c r="J140" s="167">
        <f t="shared" si="77"/>
        <v>3.3755998035289227</v>
      </c>
      <c r="K140" s="166">
        <f t="shared" si="78"/>
        <v>-592</v>
      </c>
      <c r="L140" s="166">
        <f t="shared" si="79"/>
        <v>89342</v>
      </c>
      <c r="M140" s="167">
        <f t="shared" si="76"/>
        <v>2.1244415060862904E-2</v>
      </c>
    </row>
    <row r="141" spans="2:13" x14ac:dyDescent="0.25">
      <c r="B141" s="165" t="s">
        <v>116</v>
      </c>
      <c r="C141" s="166">
        <v>5557</v>
      </c>
      <c r="D141" s="166">
        <v>9298</v>
      </c>
      <c r="E141" s="166">
        <v>16587</v>
      </c>
      <c r="F141" s="166">
        <v>20868</v>
      </c>
      <c r="G141" s="166">
        <v>21452</v>
      </c>
      <c r="H141" s="166">
        <v>21670</v>
      </c>
      <c r="I141" s="181">
        <f t="shared" si="80"/>
        <v>1.0162222636584062E-2</v>
      </c>
      <c r="J141" s="167">
        <f t="shared" si="77"/>
        <v>1.3306087330608731</v>
      </c>
      <c r="K141" s="166">
        <f t="shared" si="78"/>
        <v>218</v>
      </c>
      <c r="L141" s="166">
        <f t="shared" si="79"/>
        <v>12372</v>
      </c>
      <c r="M141" s="167">
        <f t="shared" si="76"/>
        <v>3.9752219116726602E-3</v>
      </c>
    </row>
    <row r="142" spans="2:13" x14ac:dyDescent="0.25">
      <c r="B142" s="165" t="s">
        <v>119</v>
      </c>
      <c r="C142" s="166">
        <v>6364</v>
      </c>
      <c r="D142" s="166">
        <v>15246</v>
      </c>
      <c r="E142" s="166">
        <v>26940</v>
      </c>
      <c r="F142" s="166">
        <v>25146</v>
      </c>
      <c r="G142" s="166">
        <v>24606</v>
      </c>
      <c r="H142" s="166">
        <v>23656</v>
      </c>
      <c r="I142" s="181">
        <f t="shared" si="80"/>
        <v>-3.8608469478988883E-2</v>
      </c>
      <c r="J142" s="167">
        <f t="shared" si="77"/>
        <v>0.55162009707464255</v>
      </c>
      <c r="K142" s="166">
        <f t="shared" si="78"/>
        <v>-950</v>
      </c>
      <c r="L142" s="166">
        <f t="shared" si="79"/>
        <v>8410</v>
      </c>
      <c r="M142" s="167">
        <f t="shared" si="76"/>
        <v>4.3395408187599654E-3</v>
      </c>
    </row>
    <row r="143" spans="2:13" x14ac:dyDescent="0.25">
      <c r="B143" s="165" t="s">
        <v>126</v>
      </c>
      <c r="C143" s="166">
        <v>1150</v>
      </c>
      <c r="D143" s="166">
        <v>4366</v>
      </c>
      <c r="E143" s="166">
        <v>9965</v>
      </c>
      <c r="F143" s="166">
        <v>8970</v>
      </c>
      <c r="G143" s="166">
        <v>6557</v>
      </c>
      <c r="H143" s="166">
        <v>5888</v>
      </c>
      <c r="I143" s="181">
        <f t="shared" si="80"/>
        <v>-0.10202836663108128</v>
      </c>
      <c r="J143" s="167">
        <f t="shared" si="77"/>
        <v>0.34860284012826392</v>
      </c>
      <c r="K143" s="166">
        <f t="shared" si="78"/>
        <v>-669</v>
      </c>
      <c r="L143" s="166">
        <f t="shared" si="79"/>
        <v>1522</v>
      </c>
      <c r="M143" s="167">
        <f t="shared" si="76"/>
        <v>1.0801156721702179E-3</v>
      </c>
    </row>
    <row r="144" spans="2:13" x14ac:dyDescent="0.25">
      <c r="B144" s="165" t="s">
        <v>122</v>
      </c>
      <c r="C144" s="166">
        <v>1849</v>
      </c>
      <c r="D144" s="166">
        <v>3344</v>
      </c>
      <c r="E144" s="166">
        <v>4569</v>
      </c>
      <c r="F144" s="166">
        <v>5508</v>
      </c>
      <c r="G144" s="166">
        <v>5591</v>
      </c>
      <c r="H144" s="166">
        <v>4631</v>
      </c>
      <c r="I144" s="181">
        <f t="shared" si="80"/>
        <v>-0.17170452512967271</v>
      </c>
      <c r="J144" s="167">
        <f t="shared" si="77"/>
        <v>0.38486842105263164</v>
      </c>
      <c r="K144" s="166">
        <f t="shared" si="78"/>
        <v>-960</v>
      </c>
      <c r="L144" s="166">
        <f t="shared" si="79"/>
        <v>1287</v>
      </c>
      <c r="M144" s="167">
        <f t="shared" si="76"/>
        <v>8.4952711919502027E-4</v>
      </c>
    </row>
    <row r="145" spans="2:13" x14ac:dyDescent="0.25">
      <c r="B145" s="165" t="s">
        <v>131</v>
      </c>
      <c r="C145" s="166">
        <v>1974</v>
      </c>
      <c r="D145" s="166">
        <v>1422</v>
      </c>
      <c r="E145" s="166">
        <v>3324</v>
      </c>
      <c r="F145" s="166">
        <v>3693</v>
      </c>
      <c r="G145" s="166">
        <v>3368</v>
      </c>
      <c r="H145" s="166">
        <v>3484</v>
      </c>
      <c r="I145" s="181">
        <f t="shared" si="80"/>
        <v>3.444180522565321E-2</v>
      </c>
      <c r="J145" s="167">
        <f t="shared" si="77"/>
        <v>1.450070323488045</v>
      </c>
      <c r="K145" s="166">
        <f t="shared" si="78"/>
        <v>116</v>
      </c>
      <c r="L145" s="166">
        <f t="shared" si="79"/>
        <v>2062</v>
      </c>
      <c r="M145" s="167">
        <f t="shared" si="76"/>
        <v>6.3911735764963303E-4</v>
      </c>
    </row>
    <row r="146" spans="2:13" x14ac:dyDescent="0.25">
      <c r="B146" s="165" t="s">
        <v>134</v>
      </c>
      <c r="C146" s="166">
        <v>4040</v>
      </c>
      <c r="D146" s="166">
        <v>947</v>
      </c>
      <c r="E146" s="166">
        <v>2079</v>
      </c>
      <c r="F146" s="166">
        <v>2886</v>
      </c>
      <c r="G146" s="166">
        <v>2832</v>
      </c>
      <c r="H146" s="166">
        <v>2253</v>
      </c>
      <c r="I146" s="181">
        <f t="shared" si="80"/>
        <v>-0.20444915254237284</v>
      </c>
      <c r="J146" s="167">
        <f t="shared" si="77"/>
        <v>1.3790918690601899</v>
      </c>
      <c r="K146" s="166">
        <f t="shared" si="78"/>
        <v>-579</v>
      </c>
      <c r="L146" s="166">
        <f t="shared" si="79"/>
        <v>1306</v>
      </c>
      <c r="M146" s="167">
        <f t="shared" si="76"/>
        <v>4.1329833719420874E-4</v>
      </c>
    </row>
    <row r="147" spans="2:13" x14ac:dyDescent="0.25">
      <c r="B147" s="170" t="s">
        <v>148</v>
      </c>
      <c r="C147" s="171">
        <f t="shared" ref="C147" si="81">C139-SUM(C140:C146)</f>
        <v>20837</v>
      </c>
      <c r="D147" s="171">
        <f t="shared" ref="D147:E147" si="82">D139-SUM(D140:D146)</f>
        <v>34040</v>
      </c>
      <c r="E147" s="171">
        <f t="shared" si="82"/>
        <v>68030</v>
      </c>
      <c r="F147" s="171">
        <f t="shared" ref="F147:H147" si="83">F139-SUM(F140:F146)</f>
        <v>74033</v>
      </c>
      <c r="G147" s="171">
        <f t="shared" si="83"/>
        <v>78334</v>
      </c>
      <c r="H147" s="171">
        <f t="shared" si="83"/>
        <v>77283</v>
      </c>
      <c r="I147" s="182">
        <f t="shared" si="80"/>
        <v>-1.3416907090152419E-2</v>
      </c>
      <c r="J147" s="172">
        <f t="shared" si="77"/>
        <v>1.270358401880141</v>
      </c>
      <c r="K147" s="171">
        <f>H147-G147</f>
        <v>-1051</v>
      </c>
      <c r="L147" s="171">
        <f t="shared" si="79"/>
        <v>43243</v>
      </c>
      <c r="M147" s="172">
        <f t="shared" si="76"/>
        <v>1.4177068527909471E-2</v>
      </c>
    </row>
    <row r="148" spans="2:13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6"/>
      <c r="L148" s="155"/>
      <c r="M148" s="155"/>
    </row>
    <row r="149" spans="2:13" x14ac:dyDescent="0.25">
      <c r="B149" s="158" t="s">
        <v>71</v>
      </c>
      <c r="C149" s="178">
        <v>39372</v>
      </c>
      <c r="D149" s="178">
        <v>71959</v>
      </c>
      <c r="E149" s="178">
        <v>111437</v>
      </c>
      <c r="F149" s="178">
        <v>123306</v>
      </c>
      <c r="G149" s="178">
        <v>128413</v>
      </c>
      <c r="H149" s="178">
        <v>123457</v>
      </c>
      <c r="I149" s="179">
        <f>IFERROR(H149/G149-1,"-")</f>
        <v>-3.8594223326298693E-2</v>
      </c>
      <c r="J149" s="179">
        <f>IFERROR(H149/D149-1,"-")</f>
        <v>0.71565752720299058</v>
      </c>
      <c r="K149" s="178">
        <f>H149-G149</f>
        <v>-4956</v>
      </c>
      <c r="L149" s="178">
        <f>H149-D149</f>
        <v>51498</v>
      </c>
      <c r="M149" s="179">
        <f t="shared" ref="M149:M161" si="84">H149/H$9</f>
        <v>2.2647391395910089E-2</v>
      </c>
    </row>
    <row r="150" spans="2:13" x14ac:dyDescent="0.25">
      <c r="B150" s="161" t="s">
        <v>100</v>
      </c>
      <c r="C150" s="162">
        <v>19465</v>
      </c>
      <c r="D150" s="162">
        <v>40392</v>
      </c>
      <c r="E150" s="162">
        <v>57756</v>
      </c>
      <c r="F150" s="162">
        <v>59804</v>
      </c>
      <c r="G150" s="162">
        <v>55988</v>
      </c>
      <c r="H150" s="162">
        <v>51683</v>
      </c>
      <c r="I150" s="180">
        <f>IFERROR(H150/G150-1,"-")</f>
        <v>-7.689147674501684E-2</v>
      </c>
      <c r="J150" s="163">
        <f t="shared" ref="J150:J161" si="85">IFERROR(H150/D150-1,"-")</f>
        <v>0.27953555159437515</v>
      </c>
      <c r="K150" s="162">
        <f t="shared" ref="K150:K160" si="86">H150-G150</f>
        <v>-4305</v>
      </c>
      <c r="L150" s="162">
        <f t="shared" ref="L150:L161" si="87">H150-D150</f>
        <v>11291</v>
      </c>
      <c r="M150" s="163">
        <f t="shared" si="84"/>
        <v>9.4809134315172183E-3</v>
      </c>
    </row>
    <row r="151" spans="2:13" x14ac:dyDescent="0.25">
      <c r="B151" s="165" t="s">
        <v>106</v>
      </c>
      <c r="C151" s="166">
        <v>12209</v>
      </c>
      <c r="D151" s="166">
        <v>32366</v>
      </c>
      <c r="E151" s="166">
        <v>41603</v>
      </c>
      <c r="F151" s="166">
        <v>44307</v>
      </c>
      <c r="G151" s="166">
        <v>37854</v>
      </c>
      <c r="H151" s="166">
        <v>31635</v>
      </c>
      <c r="I151" s="181">
        <f>IFERROR(H151/G151-1,"-")</f>
        <v>-0.16428911079410369</v>
      </c>
      <c r="J151" s="167">
        <f t="shared" si="85"/>
        <v>-2.2585429154050596E-2</v>
      </c>
      <c r="K151" s="166">
        <f t="shared" si="86"/>
        <v>-6219</v>
      </c>
      <c r="L151" s="166">
        <f t="shared" si="87"/>
        <v>-731</v>
      </c>
      <c r="M151" s="167">
        <f t="shared" si="84"/>
        <v>5.8032369716550349E-3</v>
      </c>
    </row>
    <row r="152" spans="2:13" x14ac:dyDescent="0.25">
      <c r="B152" s="165" t="s">
        <v>103</v>
      </c>
      <c r="C152" s="166">
        <v>7256</v>
      </c>
      <c r="D152" s="166">
        <v>8026</v>
      </c>
      <c r="E152" s="166">
        <v>16153</v>
      </c>
      <c r="F152" s="166">
        <v>15497</v>
      </c>
      <c r="G152" s="166">
        <v>18134</v>
      </c>
      <c r="H152" s="166">
        <v>20048</v>
      </c>
      <c r="I152" s="181">
        <f>IFERROR(H152/G152-1,"-")</f>
        <v>0.10554759016212634</v>
      </c>
      <c r="J152" s="167">
        <f t="shared" si="85"/>
        <v>1.4978818838773984</v>
      </c>
      <c r="K152" s="166">
        <f t="shared" si="86"/>
        <v>1914</v>
      </c>
      <c r="L152" s="166">
        <f t="shared" si="87"/>
        <v>12022</v>
      </c>
      <c r="M152" s="167">
        <f t="shared" si="84"/>
        <v>3.6776764598621826E-3</v>
      </c>
    </row>
    <row r="153" spans="2:13" x14ac:dyDescent="0.25">
      <c r="B153" s="161" t="s">
        <v>110</v>
      </c>
      <c r="C153" s="162">
        <v>19907</v>
      </c>
      <c r="D153" s="162">
        <v>31567</v>
      </c>
      <c r="E153" s="162">
        <v>53681</v>
      </c>
      <c r="F153" s="162">
        <v>63502</v>
      </c>
      <c r="G153" s="162">
        <v>72425</v>
      </c>
      <c r="H153" s="162">
        <v>71774</v>
      </c>
      <c r="I153" s="180">
        <f>IFERROR(H153/G153-1,"-")</f>
        <v>-8.9886089057645835E-3</v>
      </c>
      <c r="J153" s="163">
        <f t="shared" si="85"/>
        <v>1.2737035511768617</v>
      </c>
      <c r="K153" s="162">
        <f t="shared" si="86"/>
        <v>-651</v>
      </c>
      <c r="L153" s="162">
        <f t="shared" si="87"/>
        <v>40207</v>
      </c>
      <c r="M153" s="163">
        <f t="shared" si="84"/>
        <v>1.3166477964392872E-2</v>
      </c>
    </row>
    <row r="154" spans="2:13" x14ac:dyDescent="0.25">
      <c r="B154" s="165" t="s">
        <v>113</v>
      </c>
      <c r="C154" s="166">
        <v>5535</v>
      </c>
      <c r="D154" s="166">
        <v>5609</v>
      </c>
      <c r="E154" s="166">
        <v>19238</v>
      </c>
      <c r="F154" s="166">
        <v>18996</v>
      </c>
      <c r="G154" s="166">
        <v>20085</v>
      </c>
      <c r="H154" s="166">
        <v>17843</v>
      </c>
      <c r="I154" s="181">
        <f t="shared" ref="I154:I161" si="88">IFERROR(H154/G154-1,"-")</f>
        <v>-0.11162559123724169</v>
      </c>
      <c r="J154" s="167">
        <f t="shared" si="85"/>
        <v>2.1811374576573366</v>
      </c>
      <c r="K154" s="166">
        <f t="shared" si="86"/>
        <v>-2242</v>
      </c>
      <c r="L154" s="166">
        <f t="shared" si="87"/>
        <v>12234</v>
      </c>
      <c r="M154" s="167">
        <f t="shared" si="84"/>
        <v>3.2731834134737091E-3</v>
      </c>
    </row>
    <row r="155" spans="2:13" x14ac:dyDescent="0.25">
      <c r="B155" s="165" t="s">
        <v>116</v>
      </c>
      <c r="C155" s="166">
        <v>4949</v>
      </c>
      <c r="D155" s="166">
        <v>8623</v>
      </c>
      <c r="E155" s="166">
        <v>11385</v>
      </c>
      <c r="F155" s="166">
        <v>12605</v>
      </c>
      <c r="G155" s="166">
        <v>13027</v>
      </c>
      <c r="H155" s="166">
        <v>13112</v>
      </c>
      <c r="I155" s="181">
        <f t="shared" si="88"/>
        <v>6.5249098027173602E-3</v>
      </c>
      <c r="J155" s="167">
        <f t="shared" si="85"/>
        <v>0.52058448335845986</v>
      </c>
      <c r="K155" s="166">
        <f t="shared" si="86"/>
        <v>85</v>
      </c>
      <c r="L155" s="166">
        <f t="shared" si="87"/>
        <v>4489</v>
      </c>
      <c r="M155" s="167">
        <f t="shared" si="84"/>
        <v>2.4053119384334068E-3</v>
      </c>
    </row>
    <row r="156" spans="2:13" x14ac:dyDescent="0.25">
      <c r="B156" s="165" t="s">
        <v>119</v>
      </c>
      <c r="C156" s="166">
        <v>2264</v>
      </c>
      <c r="D156" s="166">
        <v>5206</v>
      </c>
      <c r="E156" s="166">
        <v>6579</v>
      </c>
      <c r="F156" s="166">
        <v>10130</v>
      </c>
      <c r="G156" s="166">
        <v>12879</v>
      </c>
      <c r="H156" s="166">
        <v>16550</v>
      </c>
      <c r="I156" s="181">
        <f t="shared" si="88"/>
        <v>0.28503765820327676</v>
      </c>
      <c r="J156" s="167">
        <f t="shared" si="85"/>
        <v>2.1790242028428737</v>
      </c>
      <c r="K156" s="166">
        <f t="shared" si="86"/>
        <v>3671</v>
      </c>
      <c r="L156" s="166">
        <f t="shared" si="87"/>
        <v>11344</v>
      </c>
      <c r="M156" s="167">
        <f t="shared" si="84"/>
        <v>3.0359908923942099E-3</v>
      </c>
    </row>
    <row r="157" spans="2:13" x14ac:dyDescent="0.25">
      <c r="B157" s="165" t="s">
        <v>126</v>
      </c>
      <c r="C157" s="166">
        <v>592</v>
      </c>
      <c r="D157" s="166">
        <v>927</v>
      </c>
      <c r="E157" s="166">
        <v>1690</v>
      </c>
      <c r="F157" s="166">
        <v>2031</v>
      </c>
      <c r="G157" s="166">
        <v>2829</v>
      </c>
      <c r="H157" s="166">
        <v>2548</v>
      </c>
      <c r="I157" s="181">
        <f t="shared" si="88"/>
        <v>-9.9328384588193708E-2</v>
      </c>
      <c r="J157" s="167">
        <f t="shared" si="85"/>
        <v>1.7486515641855447</v>
      </c>
      <c r="K157" s="166">
        <f t="shared" si="86"/>
        <v>-281</v>
      </c>
      <c r="L157" s="166">
        <f t="shared" si="87"/>
        <v>1621</v>
      </c>
      <c r="M157" s="167">
        <f t="shared" si="84"/>
        <v>4.6741418693779134E-4</v>
      </c>
    </row>
    <row r="158" spans="2:13" x14ac:dyDescent="0.25">
      <c r="B158" s="165" t="s">
        <v>122</v>
      </c>
      <c r="C158" s="166">
        <v>1199</v>
      </c>
      <c r="D158" s="166">
        <v>1749</v>
      </c>
      <c r="E158" s="166">
        <v>2959</v>
      </c>
      <c r="F158" s="166">
        <v>3062</v>
      </c>
      <c r="G158" s="166">
        <v>3505</v>
      </c>
      <c r="H158" s="166">
        <v>2687</v>
      </c>
      <c r="I158" s="181">
        <f t="shared" si="88"/>
        <v>-0.23338088445078464</v>
      </c>
      <c r="J158" s="167">
        <f t="shared" si="85"/>
        <v>0.53630646083476274</v>
      </c>
      <c r="K158" s="166">
        <f t="shared" si="86"/>
        <v>-818</v>
      </c>
      <c r="L158" s="166">
        <f t="shared" si="87"/>
        <v>938</v>
      </c>
      <c r="M158" s="167">
        <f t="shared" si="84"/>
        <v>4.9291284156273364E-4</v>
      </c>
    </row>
    <row r="159" spans="2:13" x14ac:dyDescent="0.25">
      <c r="B159" s="165" t="s">
        <v>131</v>
      </c>
      <c r="C159" s="166">
        <v>352</v>
      </c>
      <c r="D159" s="166">
        <v>292</v>
      </c>
      <c r="E159" s="166">
        <v>497</v>
      </c>
      <c r="F159" s="166">
        <v>676</v>
      </c>
      <c r="G159" s="166">
        <v>484</v>
      </c>
      <c r="H159" s="166">
        <v>445</v>
      </c>
      <c r="I159" s="181">
        <f t="shared" si="88"/>
        <v>-8.0578512396694224E-2</v>
      </c>
      <c r="J159" s="167">
        <f t="shared" si="85"/>
        <v>0.52397260273972601</v>
      </c>
      <c r="K159" s="166">
        <f t="shared" si="86"/>
        <v>-39</v>
      </c>
      <c r="L159" s="166">
        <f t="shared" si="87"/>
        <v>153</v>
      </c>
      <c r="M159" s="167">
        <f t="shared" si="84"/>
        <v>8.1632383511505953E-5</v>
      </c>
    </row>
    <row r="160" spans="2:13" x14ac:dyDescent="0.25">
      <c r="B160" s="165" t="s">
        <v>134</v>
      </c>
      <c r="C160" s="166">
        <v>438</v>
      </c>
      <c r="D160" s="166">
        <v>454</v>
      </c>
      <c r="E160" s="166">
        <v>656</v>
      </c>
      <c r="F160" s="166">
        <v>941</v>
      </c>
      <c r="G160" s="166">
        <v>796</v>
      </c>
      <c r="H160" s="166">
        <v>628</v>
      </c>
      <c r="I160" s="181">
        <f t="shared" si="88"/>
        <v>-0.21105527638190957</v>
      </c>
      <c r="J160" s="167">
        <f t="shared" si="85"/>
        <v>0.38325991189427322</v>
      </c>
      <c r="K160" s="166">
        <f t="shared" si="86"/>
        <v>-168</v>
      </c>
      <c r="L160" s="166">
        <f t="shared" si="87"/>
        <v>174</v>
      </c>
      <c r="M160" s="167">
        <f t="shared" si="84"/>
        <v>1.1520255470837244E-4</v>
      </c>
    </row>
    <row r="161" spans="2:13" x14ac:dyDescent="0.25">
      <c r="B161" s="170" t="s">
        <v>148</v>
      </c>
      <c r="C161" s="171">
        <f t="shared" ref="C161" si="89">C153-SUM(C154:C160)</f>
        <v>4578</v>
      </c>
      <c r="D161" s="171">
        <f t="shared" ref="D161:E161" si="90">D153-SUM(D154:D160)</f>
        <v>8707</v>
      </c>
      <c r="E161" s="171">
        <f t="shared" si="90"/>
        <v>10677</v>
      </c>
      <c r="F161" s="171">
        <f t="shared" ref="F161:H161" si="91">F153-SUM(F154:F160)</f>
        <v>15061</v>
      </c>
      <c r="G161" s="171">
        <f t="shared" si="91"/>
        <v>18820</v>
      </c>
      <c r="H161" s="171">
        <f t="shared" si="91"/>
        <v>17961</v>
      </c>
      <c r="I161" s="182">
        <f t="shared" si="88"/>
        <v>-4.5642933049946821E-2</v>
      </c>
      <c r="J161" s="172">
        <f t="shared" si="85"/>
        <v>1.0628230159641667</v>
      </c>
      <c r="K161" s="171">
        <f>H161-G161</f>
        <v>-859</v>
      </c>
      <c r="L161" s="171">
        <f t="shared" si="87"/>
        <v>9254</v>
      </c>
      <c r="M161" s="172">
        <f t="shared" si="84"/>
        <v>3.2948297533711424E-3</v>
      </c>
    </row>
    <row r="162" spans="2:13" x14ac:dyDescent="0.25">
      <c r="C162" s="81"/>
      <c r="D162" s="81"/>
      <c r="E162" s="81"/>
      <c r="F162" s="81"/>
      <c r="G162" s="81"/>
      <c r="H162" s="81"/>
      <c r="I162" s="81"/>
    </row>
    <row r="163" spans="2:13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</row>
  </sheetData>
  <mergeCells count="3">
    <mergeCell ref="B4:J4"/>
    <mergeCell ref="C6:M6"/>
    <mergeCell ref="Q6:Y6"/>
  </mergeCells>
  <pageMargins left="0.25" right="0.25" top="0.75" bottom="0.75" header="0.3" footer="0.3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07184-A5C7-448C-AFEA-6722166EA12B}">
  <sheetPr>
    <tabColor theme="7" tint="0.79998168889431442"/>
    <pageSetUpPr fitToPage="1"/>
  </sheetPr>
  <dimension ref="A1:W163"/>
  <sheetViews>
    <sheetView showGridLines="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  <col min="24" max="24" width="0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hoteles de Tenerife según lugar de residencia y municipio de alojamiento")</f>
        <v>Viajeros entrados en los hoteles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273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267</v>
      </c>
      <c r="D7" s="174" t="s">
        <v>268</v>
      </c>
      <c r="E7" s="174" t="s">
        <v>269</v>
      </c>
      <c r="F7" s="174" t="s">
        <v>270</v>
      </c>
      <c r="G7" s="174" t="s">
        <v>271</v>
      </c>
      <c r="H7" s="174" t="s">
        <v>272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267</v>
      </c>
      <c r="P7" s="174" t="s">
        <v>268</v>
      </c>
      <c r="Q7" s="174" t="s">
        <v>269</v>
      </c>
      <c r="R7" s="174" t="s">
        <v>270</v>
      </c>
      <c r="S7" s="174" t="s">
        <v>271</v>
      </c>
      <c r="T7" s="174" t="s">
        <v>272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48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1195819</v>
      </c>
      <c r="D9" s="178">
        <f t="shared" si="0"/>
        <v>1858031</v>
      </c>
      <c r="E9" s="178">
        <f t="shared" si="0"/>
        <v>3776873</v>
      </c>
      <c r="F9" s="178">
        <f t="shared" si="0"/>
        <v>4088864</v>
      </c>
      <c r="G9" s="178">
        <f t="shared" si="0"/>
        <v>4282545</v>
      </c>
      <c r="H9" s="178">
        <f t="shared" si="0"/>
        <v>4198849</v>
      </c>
      <c r="I9" s="179">
        <f>IFERROR(H9/G9-1,"-")</f>
        <v>-1.9543519099040396E-2</v>
      </c>
      <c r="J9" s="178">
        <f t="shared" ref="J9:J21" si="1">H9-G9</f>
        <v>-83696</v>
      </c>
      <c r="K9" s="179">
        <f t="shared" ref="K9:K21" si="2">H9/H$9</f>
        <v>1</v>
      </c>
      <c r="N9" s="158" t="s">
        <v>71</v>
      </c>
      <c r="O9" s="178">
        <f t="shared" ref="O9:T9" si="3">O10+O13</f>
        <v>195507</v>
      </c>
      <c r="P9" s="178">
        <f t="shared" si="3"/>
        <v>256749</v>
      </c>
      <c r="Q9" s="178">
        <f t="shared" si="3"/>
        <v>752557</v>
      </c>
      <c r="R9" s="178">
        <f t="shared" si="3"/>
        <v>810911</v>
      </c>
      <c r="S9" s="178">
        <f t="shared" si="3"/>
        <v>861439</v>
      </c>
      <c r="T9" s="178">
        <f t="shared" si="3"/>
        <v>876767</v>
      </c>
      <c r="U9" s="179">
        <f>IFERROR(T9/S9-1,"-")</f>
        <v>1.7793482765465773E-2</v>
      </c>
      <c r="V9" s="178">
        <f>T9-S9</f>
        <v>15328</v>
      </c>
      <c r="W9" s="179">
        <f t="shared" ref="W9:W21" si="4">T9/T$9</f>
        <v>1</v>
      </c>
    </row>
    <row r="10" spans="1:23" x14ac:dyDescent="0.25">
      <c r="A10" s="164" t="s">
        <v>106</v>
      </c>
      <c r="B10" s="161" t="s">
        <v>100</v>
      </c>
      <c r="C10" s="162">
        <v>373041</v>
      </c>
      <c r="D10" s="162">
        <v>669266</v>
      </c>
      <c r="E10" s="162">
        <v>862070</v>
      </c>
      <c r="F10" s="162">
        <v>882747</v>
      </c>
      <c r="G10" s="162">
        <v>889181</v>
      </c>
      <c r="H10" s="162">
        <v>881934</v>
      </c>
      <c r="I10" s="180">
        <f>IFERROR(H10/G10-1,"-")</f>
        <v>-8.1501966416286376E-3</v>
      </c>
      <c r="J10" s="161">
        <f t="shared" si="1"/>
        <v>-7247</v>
      </c>
      <c r="K10" s="163">
        <f t="shared" si="2"/>
        <v>0.21004184718240643</v>
      </c>
      <c r="N10" s="161" t="s">
        <v>100</v>
      </c>
      <c r="O10" s="162">
        <v>21989</v>
      </c>
      <c r="P10" s="162">
        <v>39834</v>
      </c>
      <c r="Q10" s="162">
        <v>83088</v>
      </c>
      <c r="R10" s="162">
        <v>81662</v>
      </c>
      <c r="S10" s="162">
        <v>80779</v>
      </c>
      <c r="T10" s="162">
        <v>79976</v>
      </c>
      <c r="U10" s="180">
        <f>IFERROR(T10/S10-1,"-")</f>
        <v>-9.9407024102798891E-3</v>
      </c>
      <c r="V10" s="161">
        <f t="shared" ref="V10:V20" si="5">T10-S10</f>
        <v>-803</v>
      </c>
      <c r="W10" s="163">
        <f t="shared" si="4"/>
        <v>9.1216936768833676E-2</v>
      </c>
    </row>
    <row r="11" spans="1:23" x14ac:dyDescent="0.25">
      <c r="A11" s="164" t="s">
        <v>103</v>
      </c>
      <c r="B11" s="165" t="s">
        <v>106</v>
      </c>
      <c r="C11" s="166">
        <v>148750</v>
      </c>
      <c r="D11" s="166">
        <v>325152</v>
      </c>
      <c r="E11" s="166">
        <v>332869</v>
      </c>
      <c r="F11" s="166">
        <v>341598</v>
      </c>
      <c r="G11" s="166">
        <v>339395</v>
      </c>
      <c r="H11" s="166">
        <v>341262</v>
      </c>
      <c r="I11" s="181">
        <f>IFERROR(H11/G11-1,"-")</f>
        <v>5.5009649523416471E-3</v>
      </c>
      <c r="J11" s="165">
        <f t="shared" si="1"/>
        <v>1867</v>
      </c>
      <c r="K11" s="167">
        <f t="shared" si="2"/>
        <v>8.1275130398830733E-2</v>
      </c>
      <c r="N11" s="165" t="s">
        <v>106</v>
      </c>
      <c r="O11" s="166">
        <v>3617</v>
      </c>
      <c r="P11" s="166">
        <v>9077</v>
      </c>
      <c r="Q11" s="166">
        <v>18678</v>
      </c>
      <c r="R11" s="166">
        <v>29633</v>
      </c>
      <c r="S11" s="166">
        <v>31378</v>
      </c>
      <c r="T11" s="166">
        <v>29839</v>
      </c>
      <c r="U11" s="181">
        <f>IFERROR(T11/S11-1,"-")</f>
        <v>-4.9047103065842257E-2</v>
      </c>
      <c r="V11" s="165">
        <f t="shared" si="5"/>
        <v>-1539</v>
      </c>
      <c r="W11" s="167">
        <f>T11/T$9</f>
        <v>3.4032987099195111E-2</v>
      </c>
    </row>
    <row r="12" spans="1:23" x14ac:dyDescent="0.25">
      <c r="A12" s="1"/>
      <c r="B12" s="165" t="s">
        <v>103</v>
      </c>
      <c r="C12" s="166">
        <v>224291</v>
      </c>
      <c r="D12" s="166">
        <v>344114</v>
      </c>
      <c r="E12" s="166">
        <v>529201</v>
      </c>
      <c r="F12" s="166">
        <v>541149</v>
      </c>
      <c r="G12" s="166">
        <v>549786</v>
      </c>
      <c r="H12" s="166">
        <v>540672</v>
      </c>
      <c r="I12" s="181">
        <f>IFERROR(H12/G12-1,"-")</f>
        <v>-1.657735919066694E-2</v>
      </c>
      <c r="J12" s="165">
        <f t="shared" si="1"/>
        <v>-9114</v>
      </c>
      <c r="K12" s="167">
        <f t="shared" si="2"/>
        <v>0.12876671678357568</v>
      </c>
      <c r="N12" s="165" t="s">
        <v>103</v>
      </c>
      <c r="O12" s="166">
        <v>18372</v>
      </c>
      <c r="P12" s="166">
        <v>30757</v>
      </c>
      <c r="Q12" s="166">
        <v>64410</v>
      </c>
      <c r="R12" s="166">
        <v>52029</v>
      </c>
      <c r="S12" s="166">
        <v>49401</v>
      </c>
      <c r="T12" s="166">
        <v>50137</v>
      </c>
      <c r="U12" s="181">
        <f>IFERROR(T12/S12-1,"-")</f>
        <v>1.48984838363595E-2</v>
      </c>
      <c r="V12" s="165">
        <f t="shared" si="5"/>
        <v>736</v>
      </c>
      <c r="W12" s="167">
        <f t="shared" si="4"/>
        <v>5.7183949669638572E-2</v>
      </c>
    </row>
    <row r="13" spans="1:23" s="58" customFormat="1" x14ac:dyDescent="0.25">
      <c r="B13" s="161" t="s">
        <v>110</v>
      </c>
      <c r="C13" s="162">
        <v>822778</v>
      </c>
      <c r="D13" s="162">
        <v>1188765</v>
      </c>
      <c r="E13" s="162">
        <v>2914803</v>
      </c>
      <c r="F13" s="162">
        <v>3206117</v>
      </c>
      <c r="G13" s="162">
        <v>3393364</v>
      </c>
      <c r="H13" s="162">
        <v>3316915</v>
      </c>
      <c r="I13" s="180">
        <f>IFERROR(H13/G13-1,"-")</f>
        <v>-2.2528971250947438E-2</v>
      </c>
      <c r="J13" s="161">
        <f t="shared" si="1"/>
        <v>-76449</v>
      </c>
      <c r="K13" s="163">
        <f t="shared" si="2"/>
        <v>0.78995815281759363</v>
      </c>
      <c r="N13" s="161" t="s">
        <v>110</v>
      </c>
      <c r="O13" s="162">
        <v>173518</v>
      </c>
      <c r="P13" s="162">
        <v>216915</v>
      </c>
      <c r="Q13" s="162">
        <v>669469</v>
      </c>
      <c r="R13" s="162">
        <v>729249</v>
      </c>
      <c r="S13" s="162">
        <v>780660</v>
      </c>
      <c r="T13" s="162">
        <v>796791</v>
      </c>
      <c r="U13" s="180">
        <f>IFERROR(T13/S13-1,"-")</f>
        <v>2.0663284912766144E-2</v>
      </c>
      <c r="V13" s="161">
        <f t="shared" si="5"/>
        <v>16131</v>
      </c>
      <c r="W13" s="163">
        <f t="shared" si="4"/>
        <v>0.90878306323116631</v>
      </c>
    </row>
    <row r="14" spans="1:23" s="58" customFormat="1" x14ac:dyDescent="0.25">
      <c r="B14" s="165" t="s">
        <v>113</v>
      </c>
      <c r="C14" s="166">
        <v>316348</v>
      </c>
      <c r="D14" s="166">
        <v>336180</v>
      </c>
      <c r="E14" s="166">
        <v>1318096</v>
      </c>
      <c r="F14" s="166">
        <v>1459989</v>
      </c>
      <c r="G14" s="166">
        <v>1532327</v>
      </c>
      <c r="H14" s="166">
        <v>1491760</v>
      </c>
      <c r="I14" s="181">
        <f t="shared" ref="I14:I21" si="6">IFERROR(H14/G14-1,"-")</f>
        <v>-2.6474114206693433E-2</v>
      </c>
      <c r="J14" s="165">
        <f t="shared" si="1"/>
        <v>-40567</v>
      </c>
      <c r="K14" s="167">
        <f t="shared" si="2"/>
        <v>0.35527831555743017</v>
      </c>
      <c r="N14" s="165" t="s">
        <v>113</v>
      </c>
      <c r="O14" s="166">
        <v>84221</v>
      </c>
      <c r="P14" s="166">
        <v>80790</v>
      </c>
      <c r="Q14" s="166">
        <v>344263</v>
      </c>
      <c r="R14" s="166">
        <v>374296</v>
      </c>
      <c r="S14" s="166">
        <v>413060</v>
      </c>
      <c r="T14" s="166">
        <v>408387</v>
      </c>
      <c r="U14" s="181">
        <f t="shared" ref="U14:U21" si="7">IFERROR(T14/S14-1,"-")</f>
        <v>-1.1313126422311526E-2</v>
      </c>
      <c r="V14" s="165">
        <f t="shared" si="5"/>
        <v>-4673</v>
      </c>
      <c r="W14" s="167">
        <f t="shared" si="4"/>
        <v>0.4657873756653706</v>
      </c>
    </row>
    <row r="15" spans="1:23" x14ac:dyDescent="0.25">
      <c r="A15" s="1"/>
      <c r="B15" s="165" t="s">
        <v>116</v>
      </c>
      <c r="C15" s="166">
        <v>117027</v>
      </c>
      <c r="D15" s="166">
        <v>194551</v>
      </c>
      <c r="E15" s="166">
        <v>339027</v>
      </c>
      <c r="F15" s="166">
        <v>383013</v>
      </c>
      <c r="G15" s="166">
        <v>391256</v>
      </c>
      <c r="H15" s="166">
        <v>384652</v>
      </c>
      <c r="I15" s="181">
        <f t="shared" si="6"/>
        <v>-1.6878974379945566E-2</v>
      </c>
      <c r="J15" s="165">
        <f t="shared" si="1"/>
        <v>-6604</v>
      </c>
      <c r="K15" s="167">
        <f t="shared" si="2"/>
        <v>9.1608914728774485E-2</v>
      </c>
      <c r="N15" s="165" t="s">
        <v>116</v>
      </c>
      <c r="O15" s="166">
        <v>10355</v>
      </c>
      <c r="P15" s="166">
        <v>13496</v>
      </c>
      <c r="Q15" s="166">
        <v>27794</v>
      </c>
      <c r="R15" s="166">
        <v>33414</v>
      </c>
      <c r="S15" s="166">
        <v>31460</v>
      </c>
      <c r="T15" s="166">
        <v>34569</v>
      </c>
      <c r="U15" s="181">
        <f t="shared" si="7"/>
        <v>9.8823903369357868E-2</v>
      </c>
      <c r="V15" s="165">
        <f t="shared" si="5"/>
        <v>3109</v>
      </c>
      <c r="W15" s="167">
        <f t="shared" si="4"/>
        <v>3.9427806931602125E-2</v>
      </c>
    </row>
    <row r="16" spans="1:23" x14ac:dyDescent="0.25">
      <c r="A16" s="1"/>
      <c r="B16" s="165" t="s">
        <v>119</v>
      </c>
      <c r="C16" s="166">
        <v>48758</v>
      </c>
      <c r="D16" s="166">
        <v>105234</v>
      </c>
      <c r="E16" s="166">
        <v>166430</v>
      </c>
      <c r="F16" s="166">
        <v>176060</v>
      </c>
      <c r="G16" s="166">
        <v>192846</v>
      </c>
      <c r="H16" s="166">
        <v>184227</v>
      </c>
      <c r="I16" s="181">
        <f t="shared" si="6"/>
        <v>-4.469369341339724E-2</v>
      </c>
      <c r="J16" s="165">
        <f t="shared" si="1"/>
        <v>-8619</v>
      </c>
      <c r="K16" s="167">
        <f t="shared" si="2"/>
        <v>4.3875595431033601E-2</v>
      </c>
      <c r="N16" s="165" t="s">
        <v>119</v>
      </c>
      <c r="O16" s="166">
        <v>5814</v>
      </c>
      <c r="P16" s="166">
        <v>10033</v>
      </c>
      <c r="Q16" s="166">
        <v>17707</v>
      </c>
      <c r="R16" s="166">
        <v>19731</v>
      </c>
      <c r="S16" s="166">
        <v>19612</v>
      </c>
      <c r="T16" s="166">
        <v>22178</v>
      </c>
      <c r="U16" s="181">
        <f t="shared" si="7"/>
        <v>0.13083826228839479</v>
      </c>
      <c r="V16" s="165">
        <f t="shared" si="5"/>
        <v>2566</v>
      </c>
      <c r="W16" s="167">
        <f t="shared" si="4"/>
        <v>2.5295203856896986E-2</v>
      </c>
    </row>
    <row r="17" spans="1:23" x14ac:dyDescent="0.25">
      <c r="A17" s="1"/>
      <c r="B17" s="165" t="s">
        <v>126</v>
      </c>
      <c r="C17" s="166">
        <v>27542</v>
      </c>
      <c r="D17" s="166">
        <v>67022</v>
      </c>
      <c r="E17" s="166">
        <v>123451</v>
      </c>
      <c r="F17" s="166">
        <v>117875</v>
      </c>
      <c r="G17" s="166">
        <v>127621</v>
      </c>
      <c r="H17" s="166">
        <v>117870</v>
      </c>
      <c r="I17" s="181">
        <f t="shared" si="6"/>
        <v>-7.6405920655691406E-2</v>
      </c>
      <c r="J17" s="165">
        <f t="shared" si="1"/>
        <v>-9751</v>
      </c>
      <c r="K17" s="167">
        <f t="shared" si="2"/>
        <v>2.8071978773230474E-2</v>
      </c>
      <c r="N17" s="165" t="s">
        <v>126</v>
      </c>
      <c r="O17" s="166">
        <v>6711</v>
      </c>
      <c r="P17" s="166">
        <v>15000</v>
      </c>
      <c r="Q17" s="166">
        <v>30594</v>
      </c>
      <c r="R17" s="166">
        <v>29638</v>
      </c>
      <c r="S17" s="166">
        <v>32178</v>
      </c>
      <c r="T17" s="166">
        <v>28689</v>
      </c>
      <c r="U17" s="181">
        <f t="shared" si="7"/>
        <v>-0.10842811859034118</v>
      </c>
      <c r="V17" s="165">
        <f t="shared" si="5"/>
        <v>-3489</v>
      </c>
      <c r="W17" s="167">
        <f t="shared" si="4"/>
        <v>3.2721350142055988E-2</v>
      </c>
    </row>
    <row r="18" spans="1:23" x14ac:dyDescent="0.25">
      <c r="A18" s="1"/>
      <c r="B18" s="165" t="s">
        <v>122</v>
      </c>
      <c r="C18" s="166">
        <v>48643</v>
      </c>
      <c r="D18" s="166">
        <v>83725</v>
      </c>
      <c r="E18" s="166">
        <v>130508</v>
      </c>
      <c r="F18" s="166">
        <v>134087</v>
      </c>
      <c r="G18" s="166">
        <v>140284</v>
      </c>
      <c r="H18" s="166">
        <v>132245</v>
      </c>
      <c r="I18" s="181">
        <f t="shared" si="6"/>
        <v>-5.7305180918707732E-2</v>
      </c>
      <c r="J18" s="165">
        <f t="shared" si="1"/>
        <v>-8039</v>
      </c>
      <c r="K18" s="167">
        <f t="shared" si="2"/>
        <v>3.1495536038566758E-2</v>
      </c>
      <c r="N18" s="165" t="s">
        <v>122</v>
      </c>
      <c r="O18" s="166">
        <v>11453</v>
      </c>
      <c r="P18" s="166">
        <v>17690</v>
      </c>
      <c r="Q18" s="166">
        <v>30778</v>
      </c>
      <c r="R18" s="166">
        <v>35496</v>
      </c>
      <c r="S18" s="166">
        <v>35500</v>
      </c>
      <c r="T18" s="166">
        <v>32562</v>
      </c>
      <c r="U18" s="181">
        <f t="shared" si="7"/>
        <v>-8.2760563380281704E-2</v>
      </c>
      <c r="V18" s="165">
        <f t="shared" si="5"/>
        <v>-2938</v>
      </c>
      <c r="W18" s="167">
        <f t="shared" si="4"/>
        <v>3.713871530292541E-2</v>
      </c>
    </row>
    <row r="19" spans="1:23" x14ac:dyDescent="0.25">
      <c r="A19" s="164" t="s">
        <v>147</v>
      </c>
      <c r="B19" s="165" t="s">
        <v>131</v>
      </c>
      <c r="C19" s="166">
        <v>18278</v>
      </c>
      <c r="D19" s="166">
        <v>14971</v>
      </c>
      <c r="E19" s="166">
        <v>40935</v>
      </c>
      <c r="F19" s="166">
        <v>44432</v>
      </c>
      <c r="G19" s="166">
        <v>41533</v>
      </c>
      <c r="H19" s="166">
        <v>39950</v>
      </c>
      <c r="I19" s="181">
        <f t="shared" si="6"/>
        <v>-3.8114270580020704E-2</v>
      </c>
      <c r="J19" s="165">
        <f t="shared" si="1"/>
        <v>-1583</v>
      </c>
      <c r="K19" s="167">
        <f t="shared" si="2"/>
        <v>9.5145121913171923E-3</v>
      </c>
      <c r="N19" s="165" t="s">
        <v>131</v>
      </c>
      <c r="O19" s="166">
        <v>3389</v>
      </c>
      <c r="P19" s="166">
        <v>3388</v>
      </c>
      <c r="Q19" s="166">
        <v>8823</v>
      </c>
      <c r="R19" s="166">
        <v>9219</v>
      </c>
      <c r="S19" s="166">
        <v>8633</v>
      </c>
      <c r="T19" s="166">
        <v>9979</v>
      </c>
      <c r="U19" s="181">
        <f t="shared" si="7"/>
        <v>0.15591335572802034</v>
      </c>
      <c r="V19" s="165">
        <f t="shared" si="5"/>
        <v>1346</v>
      </c>
      <c r="W19" s="167">
        <f t="shared" si="4"/>
        <v>1.1381587126340293E-2</v>
      </c>
    </row>
    <row r="20" spans="1:23" x14ac:dyDescent="0.25">
      <c r="A20" s="169" t="s">
        <v>148</v>
      </c>
      <c r="B20" s="165" t="s">
        <v>134</v>
      </c>
      <c r="C20" s="166">
        <v>25539</v>
      </c>
      <c r="D20" s="166">
        <v>12484</v>
      </c>
      <c r="E20" s="166">
        <v>35274</v>
      </c>
      <c r="F20" s="166">
        <v>44707</v>
      </c>
      <c r="G20" s="166">
        <v>40926</v>
      </c>
      <c r="H20" s="166">
        <v>35618</v>
      </c>
      <c r="I20" s="181">
        <f t="shared" si="6"/>
        <v>-0.12969750280994963</v>
      </c>
      <c r="J20" s="165">
        <f t="shared" si="1"/>
        <v>-5308</v>
      </c>
      <c r="K20" s="167">
        <f t="shared" si="2"/>
        <v>8.4828008818607203E-3</v>
      </c>
      <c r="N20" s="165" t="s">
        <v>134</v>
      </c>
      <c r="O20" s="166">
        <v>5209</v>
      </c>
      <c r="P20" s="166">
        <v>3780</v>
      </c>
      <c r="Q20" s="166">
        <v>8115</v>
      </c>
      <c r="R20" s="166">
        <v>10413</v>
      </c>
      <c r="S20" s="166">
        <v>8431</v>
      </c>
      <c r="T20" s="166">
        <v>7799</v>
      </c>
      <c r="U20" s="181">
        <f t="shared" si="7"/>
        <v>-7.4961451785078848E-2</v>
      </c>
      <c r="V20" s="165">
        <f t="shared" si="5"/>
        <v>-632</v>
      </c>
      <c r="W20" s="167">
        <f t="shared" si="4"/>
        <v>8.8951796771548197E-3</v>
      </c>
    </row>
    <row r="21" spans="1:23" x14ac:dyDescent="0.25">
      <c r="B21" s="170" t="s">
        <v>148</v>
      </c>
      <c r="C21" s="171">
        <f t="shared" ref="C21" si="8">C13-SUM(C14:C20)</f>
        <v>220643</v>
      </c>
      <c r="D21" s="171">
        <f t="shared" ref="D21:H21" si="9">D13-SUM(D14:D20)</f>
        <v>374598</v>
      </c>
      <c r="E21" s="171">
        <f t="shared" si="9"/>
        <v>761082</v>
      </c>
      <c r="F21" s="171">
        <f t="shared" si="9"/>
        <v>845954</v>
      </c>
      <c r="G21" s="171">
        <f t="shared" si="9"/>
        <v>926571</v>
      </c>
      <c r="H21" s="171">
        <f t="shared" si="9"/>
        <v>930593</v>
      </c>
      <c r="I21" s="182">
        <f t="shared" si="6"/>
        <v>4.3407358961158327E-3</v>
      </c>
      <c r="J21" s="170">
        <f t="shared" si="1"/>
        <v>4022</v>
      </c>
      <c r="K21" s="172">
        <f t="shared" si="2"/>
        <v>0.22163049921538022</v>
      </c>
      <c r="N21" s="170" t="s">
        <v>148</v>
      </c>
      <c r="O21" s="171">
        <f t="shared" ref="O21:T21" si="10">O13-SUM(O14:O20)</f>
        <v>46366</v>
      </c>
      <c r="P21" s="171">
        <f t="shared" si="10"/>
        <v>72738</v>
      </c>
      <c r="Q21" s="171">
        <f t="shared" si="10"/>
        <v>201395</v>
      </c>
      <c r="R21" s="171">
        <f t="shared" si="10"/>
        <v>217042</v>
      </c>
      <c r="S21" s="171">
        <f t="shared" si="10"/>
        <v>231786</v>
      </c>
      <c r="T21" s="171">
        <f t="shared" si="10"/>
        <v>252628</v>
      </c>
      <c r="U21" s="182">
        <f t="shared" si="7"/>
        <v>8.9919149560370393E-2</v>
      </c>
      <c r="V21" s="170">
        <f>T21-S21</f>
        <v>20842</v>
      </c>
      <c r="W21" s="172">
        <f t="shared" si="4"/>
        <v>0.28813584452882007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414401</v>
      </c>
      <c r="D23" s="178">
        <f t="shared" si="11"/>
        <v>752768</v>
      </c>
      <c r="E23" s="178">
        <f t="shared" si="11"/>
        <v>1490629</v>
      </c>
      <c r="F23" s="178">
        <f t="shared" si="11"/>
        <v>1543522</v>
      </c>
      <c r="G23" s="178">
        <f t="shared" si="11"/>
        <v>1573920</v>
      </c>
      <c r="H23" s="178">
        <f t="shared" si="11"/>
        <v>1478445</v>
      </c>
      <c r="I23" s="179">
        <f>IFERROR(H23/G23-1,"-")</f>
        <v>-6.0660643488868571E-2</v>
      </c>
      <c r="J23" s="178">
        <f>H23-G23</f>
        <v>-95475</v>
      </c>
      <c r="K23" s="179">
        <f t="shared" ref="K23:K35" si="12">H23/H$9</f>
        <v>0.35210720842783344</v>
      </c>
    </row>
    <row r="24" spans="1:23" x14ac:dyDescent="0.25">
      <c r="B24" s="161" t="s">
        <v>100</v>
      </c>
      <c r="C24" s="162">
        <v>81713</v>
      </c>
      <c r="D24" s="162">
        <v>207227</v>
      </c>
      <c r="E24" s="162">
        <v>174061</v>
      </c>
      <c r="F24" s="162">
        <v>143030</v>
      </c>
      <c r="G24" s="162">
        <v>128393</v>
      </c>
      <c r="H24" s="162">
        <v>111612</v>
      </c>
      <c r="I24" s="180">
        <f>IFERROR(H24/G24-1,"-")</f>
        <v>-0.13070027182167254</v>
      </c>
      <c r="J24" s="161">
        <f t="shared" ref="J24:J34" si="13">H24-G24</f>
        <v>-16781</v>
      </c>
      <c r="K24" s="163">
        <f t="shared" si="12"/>
        <v>2.6581570330345292E-2</v>
      </c>
    </row>
    <row r="25" spans="1:23" x14ac:dyDescent="0.25">
      <c r="B25" s="165" t="s">
        <v>12</v>
      </c>
      <c r="C25" s="166">
        <v>41419</v>
      </c>
      <c r="D25" s="166">
        <v>97227</v>
      </c>
      <c r="E25" s="166">
        <v>68469</v>
      </c>
      <c r="F25" s="166">
        <v>54919</v>
      </c>
      <c r="G25" s="166">
        <v>44012</v>
      </c>
      <c r="H25" s="166">
        <v>50041</v>
      </c>
      <c r="I25" s="181">
        <f>IFERROR(H25/G25-1,"-")</f>
        <v>0.13698536762701075</v>
      </c>
      <c r="J25" s="165">
        <f t="shared" si="13"/>
        <v>6029</v>
      </c>
      <c r="K25" s="167">
        <f t="shared" si="12"/>
        <v>1.1917789851456912E-2</v>
      </c>
    </row>
    <row r="26" spans="1:23" x14ac:dyDescent="0.25">
      <c r="B26" s="165" t="s">
        <v>103</v>
      </c>
      <c r="C26" s="166">
        <v>40294</v>
      </c>
      <c r="D26" s="166">
        <v>110000</v>
      </c>
      <c r="E26" s="166">
        <v>105592</v>
      </c>
      <c r="F26" s="166">
        <v>88111</v>
      </c>
      <c r="G26" s="166">
        <v>84381</v>
      </c>
      <c r="H26" s="166">
        <v>61571</v>
      </c>
      <c r="I26" s="181">
        <f>IFERROR(H26/G26-1,"-")</f>
        <v>-0.27032151787724723</v>
      </c>
      <c r="J26" s="165">
        <f t="shared" si="13"/>
        <v>-22810</v>
      </c>
      <c r="K26" s="167">
        <f t="shared" si="12"/>
        <v>1.4663780478888382E-2</v>
      </c>
    </row>
    <row r="27" spans="1:23" x14ac:dyDescent="0.25">
      <c r="B27" s="161" t="s">
        <v>110</v>
      </c>
      <c r="C27" s="162">
        <v>332688</v>
      </c>
      <c r="D27" s="162">
        <v>545541</v>
      </c>
      <c r="E27" s="162">
        <v>1316568</v>
      </c>
      <c r="F27" s="162">
        <v>1400492</v>
      </c>
      <c r="G27" s="162">
        <v>1445527</v>
      </c>
      <c r="H27" s="162">
        <v>1366833</v>
      </c>
      <c r="I27" s="180">
        <f>IFERROR(H27/G27-1,"-")</f>
        <v>-5.44396611062955E-2</v>
      </c>
      <c r="J27" s="161">
        <f t="shared" si="13"/>
        <v>-78694</v>
      </c>
      <c r="K27" s="163">
        <f t="shared" si="12"/>
        <v>0.32552563809748813</v>
      </c>
    </row>
    <row r="28" spans="1:23" x14ac:dyDescent="0.25">
      <c r="B28" s="165" t="s">
        <v>113</v>
      </c>
      <c r="C28" s="166">
        <v>138327</v>
      </c>
      <c r="D28" s="166">
        <v>175307</v>
      </c>
      <c r="E28" s="166">
        <v>657205</v>
      </c>
      <c r="F28" s="166">
        <v>710044</v>
      </c>
      <c r="G28" s="166">
        <v>733382</v>
      </c>
      <c r="H28" s="166">
        <v>695285</v>
      </c>
      <c r="I28" s="181">
        <f t="shared" ref="I28:I35" si="14">IFERROR(H28/G28-1,"-")</f>
        <v>-5.1947007153161695E-2</v>
      </c>
      <c r="J28" s="165">
        <f t="shared" si="13"/>
        <v>-38097</v>
      </c>
      <c r="K28" s="167">
        <f t="shared" si="12"/>
        <v>0.16558942700725843</v>
      </c>
    </row>
    <row r="29" spans="1:23" x14ac:dyDescent="0.25">
      <c r="B29" s="165" t="s">
        <v>116</v>
      </c>
      <c r="C29" s="166">
        <v>45501</v>
      </c>
      <c r="D29" s="166">
        <v>95431</v>
      </c>
      <c r="E29" s="166">
        <v>155893</v>
      </c>
      <c r="F29" s="166">
        <v>167578</v>
      </c>
      <c r="G29" s="166">
        <v>166862</v>
      </c>
      <c r="H29" s="166">
        <v>156262</v>
      </c>
      <c r="I29" s="181">
        <f t="shared" si="14"/>
        <v>-6.3525548057676406E-2</v>
      </c>
      <c r="J29" s="165">
        <f t="shared" si="13"/>
        <v>-10600</v>
      </c>
      <c r="K29" s="167">
        <f t="shared" si="12"/>
        <v>3.7215436897111563E-2</v>
      </c>
    </row>
    <row r="30" spans="1:23" x14ac:dyDescent="0.25">
      <c r="B30" s="165" t="s">
        <v>119</v>
      </c>
      <c r="C30" s="166">
        <v>16544</v>
      </c>
      <c r="D30" s="166">
        <v>35787</v>
      </c>
      <c r="E30" s="166">
        <v>52360</v>
      </c>
      <c r="F30" s="166">
        <v>46545</v>
      </c>
      <c r="G30" s="166">
        <v>42171</v>
      </c>
      <c r="H30" s="166">
        <v>40216</v>
      </c>
      <c r="I30" s="181">
        <f t="shared" si="14"/>
        <v>-4.635887221076096E-2</v>
      </c>
      <c r="J30" s="165">
        <f t="shared" si="13"/>
        <v>-1955</v>
      </c>
      <c r="K30" s="167">
        <f t="shared" si="12"/>
        <v>9.5778628857575016E-3</v>
      </c>
    </row>
    <row r="31" spans="1:23" x14ac:dyDescent="0.25">
      <c r="B31" s="165" t="s">
        <v>126</v>
      </c>
      <c r="C31" s="166">
        <v>13391</v>
      </c>
      <c r="D31" s="166">
        <v>36053</v>
      </c>
      <c r="E31" s="166">
        <v>64395</v>
      </c>
      <c r="F31" s="166">
        <v>57472</v>
      </c>
      <c r="G31" s="166">
        <v>61051</v>
      </c>
      <c r="H31" s="166">
        <v>56954</v>
      </c>
      <c r="I31" s="181">
        <f t="shared" si="14"/>
        <v>-6.7107827881607185E-2</v>
      </c>
      <c r="J31" s="165">
        <f t="shared" si="13"/>
        <v>-4097</v>
      </c>
      <c r="K31" s="167">
        <f t="shared" si="12"/>
        <v>1.3564193425388719E-2</v>
      </c>
    </row>
    <row r="32" spans="1:23" x14ac:dyDescent="0.25">
      <c r="B32" s="165" t="s">
        <v>122</v>
      </c>
      <c r="C32" s="166">
        <v>24404</v>
      </c>
      <c r="D32" s="166">
        <v>48646</v>
      </c>
      <c r="E32" s="166">
        <v>77679</v>
      </c>
      <c r="F32" s="166">
        <v>74656</v>
      </c>
      <c r="G32" s="166">
        <v>76395</v>
      </c>
      <c r="H32" s="166">
        <v>73184</v>
      </c>
      <c r="I32" s="181">
        <f t="shared" si="14"/>
        <v>-4.2031546567183664E-2</v>
      </c>
      <c r="J32" s="165">
        <f t="shared" si="13"/>
        <v>-3211</v>
      </c>
      <c r="K32" s="167">
        <f t="shared" si="12"/>
        <v>1.7429538428269272E-2</v>
      </c>
    </row>
    <row r="33" spans="2:11" x14ac:dyDescent="0.25">
      <c r="B33" s="165" t="s">
        <v>131</v>
      </c>
      <c r="C33" s="166">
        <v>9562</v>
      </c>
      <c r="D33" s="166">
        <v>6287</v>
      </c>
      <c r="E33" s="166">
        <v>20065</v>
      </c>
      <c r="F33" s="166">
        <v>20971</v>
      </c>
      <c r="G33" s="166">
        <v>20850</v>
      </c>
      <c r="H33" s="166">
        <v>19111</v>
      </c>
      <c r="I33" s="181">
        <f t="shared" si="14"/>
        <v>-8.3405275779376509E-2</v>
      </c>
      <c r="J33" s="165">
        <f t="shared" si="13"/>
        <v>-1739</v>
      </c>
      <c r="K33" s="167">
        <f t="shared" si="12"/>
        <v>4.5514854189802967E-3</v>
      </c>
    </row>
    <row r="34" spans="2:11" x14ac:dyDescent="0.25">
      <c r="B34" s="165" t="s">
        <v>134</v>
      </c>
      <c r="C34" s="166">
        <v>11542</v>
      </c>
      <c r="D34" s="166">
        <v>4406</v>
      </c>
      <c r="E34" s="166">
        <v>17276</v>
      </c>
      <c r="F34" s="166">
        <v>22029</v>
      </c>
      <c r="G34" s="166">
        <v>19998</v>
      </c>
      <c r="H34" s="166">
        <v>17201</v>
      </c>
      <c r="I34" s="181">
        <f t="shared" si="14"/>
        <v>-0.13986398639863984</v>
      </c>
      <c r="J34" s="165">
        <f t="shared" si="13"/>
        <v>-2797</v>
      </c>
      <c r="K34" s="167">
        <f t="shared" si="12"/>
        <v>4.0965988536382234E-3</v>
      </c>
    </row>
    <row r="35" spans="2:11" x14ac:dyDescent="0.25">
      <c r="B35" s="170" t="s">
        <v>148</v>
      </c>
      <c r="C35" s="171">
        <f t="shared" ref="C35" si="15">C27-SUM(C28:C34)</f>
        <v>73417</v>
      </c>
      <c r="D35" s="171">
        <f t="shared" ref="D35:H35" si="16">D27-SUM(D28:D34)</f>
        <v>143624</v>
      </c>
      <c r="E35" s="171">
        <f t="shared" si="16"/>
        <v>271695</v>
      </c>
      <c r="F35" s="171">
        <f t="shared" si="16"/>
        <v>301197</v>
      </c>
      <c r="G35" s="171">
        <f t="shared" si="16"/>
        <v>324818</v>
      </c>
      <c r="H35" s="171">
        <f t="shared" si="16"/>
        <v>308620</v>
      </c>
      <c r="I35" s="182">
        <f t="shared" si="14"/>
        <v>-4.9867926038581589E-2</v>
      </c>
      <c r="J35" s="170">
        <f>H35-G35</f>
        <v>-16198</v>
      </c>
      <c r="K35" s="172">
        <f t="shared" si="12"/>
        <v>7.350109518108415E-2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195507</v>
      </c>
      <c r="D37" s="178">
        <f t="shared" si="17"/>
        <v>256749</v>
      </c>
      <c r="E37" s="178">
        <f t="shared" si="17"/>
        <v>752557</v>
      </c>
      <c r="F37" s="178">
        <f t="shared" si="17"/>
        <v>810911</v>
      </c>
      <c r="G37" s="178">
        <f t="shared" si="17"/>
        <v>861439</v>
      </c>
      <c r="H37" s="178">
        <f t="shared" si="17"/>
        <v>876767</v>
      </c>
      <c r="I37" s="179">
        <f>IFERROR(H37/G37-1,"-")</f>
        <v>1.7793482765465773E-2</v>
      </c>
      <c r="J37" s="178">
        <f>H37-G37</f>
        <v>15328</v>
      </c>
      <c r="K37" s="179">
        <f t="shared" ref="K37:K49" si="18">H37/H$9</f>
        <v>0.20881127185092868</v>
      </c>
    </row>
    <row r="38" spans="2:11" x14ac:dyDescent="0.25">
      <c r="B38" s="161" t="s">
        <v>100</v>
      </c>
      <c r="C38" s="162">
        <v>21989</v>
      </c>
      <c r="D38" s="162">
        <v>39834</v>
      </c>
      <c r="E38" s="162">
        <v>83088</v>
      </c>
      <c r="F38" s="162">
        <v>81662</v>
      </c>
      <c r="G38" s="162">
        <v>80779</v>
      </c>
      <c r="H38" s="162">
        <v>79976</v>
      </c>
      <c r="I38" s="180">
        <f>IFERROR(H38/G38-1,"-")</f>
        <v>-9.9407024102798891E-3</v>
      </c>
      <c r="J38" s="161">
        <f t="shared" ref="J38:J48" si="19">H38-G38</f>
        <v>-803</v>
      </c>
      <c r="K38" s="163">
        <f t="shared" si="18"/>
        <v>1.9047124581045901E-2</v>
      </c>
    </row>
    <row r="39" spans="2:11" x14ac:dyDescent="0.25">
      <c r="B39" s="165" t="s">
        <v>106</v>
      </c>
      <c r="C39" s="166">
        <v>3617</v>
      </c>
      <c r="D39" s="166">
        <v>9077</v>
      </c>
      <c r="E39" s="166">
        <v>18678</v>
      </c>
      <c r="F39" s="166">
        <v>29633</v>
      </c>
      <c r="G39" s="166">
        <v>31378</v>
      </c>
      <c r="H39" s="166">
        <v>29839</v>
      </c>
      <c r="I39" s="181">
        <f>IFERROR(H39/G39-1,"-")</f>
        <v>-4.9047103065842257E-2</v>
      </c>
      <c r="J39" s="165">
        <f t="shared" si="19"/>
        <v>-1539</v>
      </c>
      <c r="K39" s="167">
        <f t="shared" si="18"/>
        <v>7.1064713210691787E-3</v>
      </c>
    </row>
    <row r="40" spans="2:11" x14ac:dyDescent="0.25">
      <c r="B40" s="165" t="s">
        <v>103</v>
      </c>
      <c r="C40" s="166">
        <v>18372</v>
      </c>
      <c r="D40" s="166">
        <v>30757</v>
      </c>
      <c r="E40" s="166">
        <v>64410</v>
      </c>
      <c r="F40" s="166">
        <v>52029</v>
      </c>
      <c r="G40" s="166">
        <v>49401</v>
      </c>
      <c r="H40" s="166">
        <v>50137</v>
      </c>
      <c r="I40" s="181">
        <f>IFERROR(H40/G40-1,"-")</f>
        <v>1.48984838363595E-2</v>
      </c>
      <c r="J40" s="165">
        <f t="shared" si="19"/>
        <v>736</v>
      </c>
      <c r="K40" s="167">
        <f t="shared" si="18"/>
        <v>1.1940653259976721E-2</v>
      </c>
    </row>
    <row r="41" spans="2:11" x14ac:dyDescent="0.25">
      <c r="B41" s="161" t="s">
        <v>110</v>
      </c>
      <c r="C41" s="162">
        <v>173518</v>
      </c>
      <c r="D41" s="162">
        <v>216915</v>
      </c>
      <c r="E41" s="162">
        <v>669469</v>
      </c>
      <c r="F41" s="162">
        <v>729249</v>
      </c>
      <c r="G41" s="162">
        <v>780660</v>
      </c>
      <c r="H41" s="162">
        <v>796791</v>
      </c>
      <c r="I41" s="180">
        <f>IFERROR(H41/G41-1,"-")</f>
        <v>2.0663284912766144E-2</v>
      </c>
      <c r="J41" s="161">
        <f t="shared" si="19"/>
        <v>16131</v>
      </c>
      <c r="K41" s="163">
        <f t="shared" si="18"/>
        <v>0.18976414726988278</v>
      </c>
    </row>
    <row r="42" spans="2:11" x14ac:dyDescent="0.25">
      <c r="B42" s="165" t="s">
        <v>113</v>
      </c>
      <c r="C42" s="166">
        <v>84221</v>
      </c>
      <c r="D42" s="166">
        <v>80790</v>
      </c>
      <c r="E42" s="166">
        <v>344263</v>
      </c>
      <c r="F42" s="166">
        <v>374296</v>
      </c>
      <c r="G42" s="166">
        <v>413060</v>
      </c>
      <c r="H42" s="166">
        <v>408387</v>
      </c>
      <c r="I42" s="181">
        <f t="shared" ref="I42:I49" si="20">IFERROR(H42/G42-1,"-")</f>
        <v>-1.1313126422311526E-2</v>
      </c>
      <c r="J42" s="165">
        <f t="shared" si="19"/>
        <v>-4673</v>
      </c>
      <c r="K42" s="167">
        <f t="shared" si="18"/>
        <v>9.7261654324792349E-2</v>
      </c>
    </row>
    <row r="43" spans="2:11" x14ac:dyDescent="0.25">
      <c r="B43" s="165" t="s">
        <v>116</v>
      </c>
      <c r="C43" s="166">
        <v>10355</v>
      </c>
      <c r="D43" s="166">
        <v>13496</v>
      </c>
      <c r="E43" s="166">
        <v>27794</v>
      </c>
      <c r="F43" s="166">
        <v>33414</v>
      </c>
      <c r="G43" s="166">
        <v>31460</v>
      </c>
      <c r="H43" s="166">
        <v>34569</v>
      </c>
      <c r="I43" s="181">
        <f t="shared" si="20"/>
        <v>9.8823903369357868E-2</v>
      </c>
      <c r="J43" s="165">
        <f t="shared" si="19"/>
        <v>3109</v>
      </c>
      <c r="K43" s="167">
        <f t="shared" si="18"/>
        <v>8.2329705116807005E-3</v>
      </c>
    </row>
    <row r="44" spans="2:11" x14ac:dyDescent="0.25">
      <c r="B44" s="165" t="s">
        <v>119</v>
      </c>
      <c r="C44" s="166">
        <v>5814</v>
      </c>
      <c r="D44" s="166">
        <v>10033</v>
      </c>
      <c r="E44" s="166">
        <v>17707</v>
      </c>
      <c r="F44" s="166">
        <v>19731</v>
      </c>
      <c r="G44" s="166">
        <v>19612</v>
      </c>
      <c r="H44" s="166">
        <v>22178</v>
      </c>
      <c r="I44" s="181">
        <f t="shared" si="20"/>
        <v>0.13083826228839479</v>
      </c>
      <c r="J44" s="165">
        <f t="shared" si="19"/>
        <v>2566</v>
      </c>
      <c r="K44" s="167">
        <f t="shared" si="18"/>
        <v>5.2819236890871762E-3</v>
      </c>
    </row>
    <row r="45" spans="2:11" x14ac:dyDescent="0.25">
      <c r="B45" s="165" t="s">
        <v>126</v>
      </c>
      <c r="C45" s="166">
        <v>6711</v>
      </c>
      <c r="D45" s="166">
        <v>15000</v>
      </c>
      <c r="E45" s="166">
        <v>30594</v>
      </c>
      <c r="F45" s="166">
        <v>29638</v>
      </c>
      <c r="G45" s="166">
        <v>32178</v>
      </c>
      <c r="H45" s="166">
        <v>28689</v>
      </c>
      <c r="I45" s="181">
        <f t="shared" si="20"/>
        <v>-0.10842811859034118</v>
      </c>
      <c r="J45" s="165">
        <f t="shared" si="19"/>
        <v>-3489</v>
      </c>
      <c r="K45" s="167">
        <f t="shared" si="18"/>
        <v>6.8325867398422759E-3</v>
      </c>
    </row>
    <row r="46" spans="2:11" x14ac:dyDescent="0.25">
      <c r="B46" s="165" t="s">
        <v>122</v>
      </c>
      <c r="C46" s="166">
        <v>11453</v>
      </c>
      <c r="D46" s="166">
        <v>17690</v>
      </c>
      <c r="E46" s="166">
        <v>30778</v>
      </c>
      <c r="F46" s="166">
        <v>35496</v>
      </c>
      <c r="G46" s="166">
        <v>35500</v>
      </c>
      <c r="H46" s="166">
        <v>32562</v>
      </c>
      <c r="I46" s="181">
        <f t="shared" si="20"/>
        <v>-8.2760563380281704E-2</v>
      </c>
      <c r="J46" s="165">
        <f t="shared" si="19"/>
        <v>-2938</v>
      </c>
      <c r="K46" s="167">
        <f t="shared" si="18"/>
        <v>7.7549823773134016E-3</v>
      </c>
    </row>
    <row r="47" spans="2:11" x14ac:dyDescent="0.25">
      <c r="B47" s="165" t="s">
        <v>131</v>
      </c>
      <c r="C47" s="166">
        <v>3389</v>
      </c>
      <c r="D47" s="166">
        <v>3388</v>
      </c>
      <c r="E47" s="166">
        <v>8823</v>
      </c>
      <c r="F47" s="166">
        <v>9219</v>
      </c>
      <c r="G47" s="166">
        <v>8633</v>
      </c>
      <c r="H47" s="166">
        <v>9979</v>
      </c>
      <c r="I47" s="181">
        <f t="shared" si="20"/>
        <v>0.15591335572802034</v>
      </c>
      <c r="J47" s="165">
        <f t="shared" si="19"/>
        <v>1346</v>
      </c>
      <c r="K47" s="167">
        <f t="shared" si="18"/>
        <v>2.3766036835332731E-3</v>
      </c>
    </row>
    <row r="48" spans="2:11" x14ac:dyDescent="0.25">
      <c r="B48" s="165" t="s">
        <v>134</v>
      </c>
      <c r="C48" s="166">
        <v>5209</v>
      </c>
      <c r="D48" s="166">
        <v>3780</v>
      </c>
      <c r="E48" s="166">
        <v>8115</v>
      </c>
      <c r="F48" s="166">
        <v>10413</v>
      </c>
      <c r="G48" s="166">
        <v>8431</v>
      </c>
      <c r="H48" s="166">
        <v>7799</v>
      </c>
      <c r="I48" s="181">
        <f t="shared" si="20"/>
        <v>-7.4961451785078848E-2</v>
      </c>
      <c r="J48" s="165">
        <f t="shared" si="19"/>
        <v>-632</v>
      </c>
      <c r="K48" s="167">
        <f t="shared" si="18"/>
        <v>1.8574137817292311E-3</v>
      </c>
    </row>
    <row r="49" spans="2:11" x14ac:dyDescent="0.25">
      <c r="B49" s="170" t="s">
        <v>148</v>
      </c>
      <c r="C49" s="171">
        <f t="shared" ref="C49" si="21">C41-SUM(C42:C48)</f>
        <v>46366</v>
      </c>
      <c r="D49" s="171">
        <f t="shared" ref="D49:H49" si="22">D41-SUM(D42:D48)</f>
        <v>72738</v>
      </c>
      <c r="E49" s="171">
        <f t="shared" si="22"/>
        <v>201395</v>
      </c>
      <c r="F49" s="171">
        <f t="shared" si="22"/>
        <v>217042</v>
      </c>
      <c r="G49" s="171">
        <f t="shared" si="22"/>
        <v>231786</v>
      </c>
      <c r="H49" s="171">
        <f t="shared" si="22"/>
        <v>252628</v>
      </c>
      <c r="I49" s="182">
        <f t="shared" si="20"/>
        <v>8.9919149560370393E-2</v>
      </c>
      <c r="J49" s="170">
        <f>H49-G49</f>
        <v>20842</v>
      </c>
      <c r="K49" s="172">
        <f t="shared" si="18"/>
        <v>6.016601216190437E-2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C52+C55</f>
        <v>10671</v>
      </c>
      <c r="D51" s="178">
        <f t="shared" si="23"/>
        <v>20161</v>
      </c>
      <c r="E51" s="178">
        <f t="shared" si="23"/>
        <v>37638</v>
      </c>
      <c r="F51" s="178">
        <f t="shared" si="23"/>
        <v>50566</v>
      </c>
      <c r="G51" s="178">
        <f t="shared" si="23"/>
        <v>44389</v>
      </c>
      <c r="H51" s="178">
        <f t="shared" si="23"/>
        <v>43817</v>
      </c>
      <c r="I51" s="179">
        <f>IFERROR(H51/G51-1,"-")</f>
        <v>-1.28860753790353E-2</v>
      </c>
      <c r="J51" s="178">
        <f>H51-G51</f>
        <v>-572</v>
      </c>
      <c r="K51" s="179">
        <f t="shared" ref="K51:K63" si="24">H51/H$9</f>
        <v>1.043547886575583E-2</v>
      </c>
    </row>
    <row r="52" spans="2:11" x14ac:dyDescent="0.25">
      <c r="B52" s="161" t="s">
        <v>100</v>
      </c>
      <c r="C52" s="162">
        <v>1985</v>
      </c>
      <c r="D52" s="162">
        <v>4950</v>
      </c>
      <c r="E52" s="162">
        <v>6738</v>
      </c>
      <c r="F52" s="162">
        <v>20123</v>
      </c>
      <c r="G52" s="162">
        <v>11822</v>
      </c>
      <c r="H52" s="162">
        <v>9889</v>
      </c>
      <c r="I52" s="180">
        <f>IFERROR(H52/G52-1,"-")</f>
        <v>-0.16350871256978516</v>
      </c>
      <c r="J52" s="161">
        <f t="shared" ref="J52:J62" si="25">H52-G52</f>
        <v>-1933</v>
      </c>
      <c r="K52" s="163">
        <f t="shared" si="24"/>
        <v>2.3551692380459504E-3</v>
      </c>
    </row>
    <row r="53" spans="2:11" x14ac:dyDescent="0.25">
      <c r="B53" s="165" t="s">
        <v>106</v>
      </c>
      <c r="C53" s="166">
        <v>1483</v>
      </c>
      <c r="D53" s="166">
        <v>2415</v>
      </c>
      <c r="E53" s="166">
        <v>3508</v>
      </c>
      <c r="F53" s="166">
        <v>14745</v>
      </c>
      <c r="G53" s="166">
        <v>7661</v>
      </c>
      <c r="H53" s="166">
        <v>5821</v>
      </c>
      <c r="I53" s="181">
        <f>IFERROR(H53/G53-1,"-")</f>
        <v>-0.24017752251664271</v>
      </c>
      <c r="J53" s="165">
        <f t="shared" si="25"/>
        <v>-1840</v>
      </c>
      <c r="K53" s="167">
        <f t="shared" si="24"/>
        <v>1.3863323020189581E-3</v>
      </c>
    </row>
    <row r="54" spans="2:11" x14ac:dyDescent="0.25">
      <c r="B54" s="165" t="s">
        <v>103</v>
      </c>
      <c r="C54" s="166">
        <v>502</v>
      </c>
      <c r="D54" s="166">
        <v>2535</v>
      </c>
      <c r="E54" s="166">
        <v>3230</v>
      </c>
      <c r="F54" s="166">
        <v>5378</v>
      </c>
      <c r="G54" s="166">
        <v>4161</v>
      </c>
      <c r="H54" s="166">
        <v>4068</v>
      </c>
      <c r="I54" s="181">
        <f>IFERROR(H54/G54-1,"-")</f>
        <v>-2.2350396539293493E-2</v>
      </c>
      <c r="J54" s="165">
        <f t="shared" si="25"/>
        <v>-93</v>
      </c>
      <c r="K54" s="167">
        <f t="shared" si="24"/>
        <v>9.6883693602699218E-4</v>
      </c>
    </row>
    <row r="55" spans="2:11" x14ac:dyDescent="0.25">
      <c r="B55" s="161" t="s">
        <v>110</v>
      </c>
      <c r="C55" s="162">
        <v>8686</v>
      </c>
      <c r="D55" s="162">
        <v>15211</v>
      </c>
      <c r="E55" s="162">
        <v>30900</v>
      </c>
      <c r="F55" s="162">
        <v>30443</v>
      </c>
      <c r="G55" s="162">
        <v>32567</v>
      </c>
      <c r="H55" s="162">
        <v>33928</v>
      </c>
      <c r="I55" s="180">
        <f>IFERROR(H55/G55-1,"-")</f>
        <v>4.1790769797647842E-2</v>
      </c>
      <c r="J55" s="161">
        <f t="shared" si="25"/>
        <v>1361</v>
      </c>
      <c r="K55" s="163">
        <f t="shared" si="24"/>
        <v>8.0803096277098797E-3</v>
      </c>
    </row>
    <row r="56" spans="2:11" x14ac:dyDescent="0.25">
      <c r="B56" s="165" t="s">
        <v>113</v>
      </c>
      <c r="C56" s="166">
        <v>2447</v>
      </c>
      <c r="D56" s="166">
        <v>3030</v>
      </c>
      <c r="E56" s="166">
        <v>10329</v>
      </c>
      <c r="F56" s="166">
        <v>9247</v>
      </c>
      <c r="G56" s="166">
        <v>10964</v>
      </c>
      <c r="H56" s="166">
        <v>11677</v>
      </c>
      <c r="I56" s="181">
        <f t="shared" ref="I56:I63" si="26">IFERROR(H56/G56-1,"-")</f>
        <v>6.5031010580080206E-2</v>
      </c>
      <c r="J56" s="165">
        <f t="shared" si="25"/>
        <v>713</v>
      </c>
      <c r="K56" s="167">
        <f t="shared" si="24"/>
        <v>2.7810002217274307E-3</v>
      </c>
    </row>
    <row r="57" spans="2:11" x14ac:dyDescent="0.25">
      <c r="B57" s="165" t="s">
        <v>116</v>
      </c>
      <c r="C57" s="166">
        <v>2773</v>
      </c>
      <c r="D57" s="166">
        <v>5150</v>
      </c>
      <c r="E57" s="166">
        <v>6783</v>
      </c>
      <c r="F57" s="166">
        <v>6068</v>
      </c>
      <c r="G57" s="166">
        <v>6166</v>
      </c>
      <c r="H57" s="166">
        <v>6797</v>
      </c>
      <c r="I57" s="181">
        <f t="shared" si="26"/>
        <v>0.10233538760947125</v>
      </c>
      <c r="J57" s="165">
        <f t="shared" si="25"/>
        <v>631</v>
      </c>
      <c r="K57" s="167">
        <f t="shared" si="24"/>
        <v>1.6187769553037035E-3</v>
      </c>
    </row>
    <row r="58" spans="2:11" x14ac:dyDescent="0.25">
      <c r="B58" s="165" t="s">
        <v>119</v>
      </c>
      <c r="C58" s="166">
        <v>473</v>
      </c>
      <c r="D58" s="166">
        <v>1642</v>
      </c>
      <c r="E58" s="166">
        <v>2739</v>
      </c>
      <c r="F58" s="166">
        <v>2907</v>
      </c>
      <c r="G58" s="166">
        <v>2482</v>
      </c>
      <c r="H58" s="166">
        <v>2768</v>
      </c>
      <c r="I58" s="181">
        <f t="shared" si="26"/>
        <v>0.11522965350523773</v>
      </c>
      <c r="J58" s="165">
        <f t="shared" si="25"/>
        <v>286</v>
      </c>
      <c r="K58" s="167">
        <f t="shared" si="24"/>
        <v>6.5922827898788454E-4</v>
      </c>
    </row>
    <row r="59" spans="2:11" x14ac:dyDescent="0.25">
      <c r="B59" s="165" t="s">
        <v>126</v>
      </c>
      <c r="C59" s="166">
        <v>259</v>
      </c>
      <c r="D59" s="166">
        <v>377</v>
      </c>
      <c r="E59" s="166">
        <v>866</v>
      </c>
      <c r="F59" s="166">
        <v>806</v>
      </c>
      <c r="G59" s="166">
        <v>1053</v>
      </c>
      <c r="H59" s="166">
        <v>1113</v>
      </c>
      <c r="I59" s="181">
        <f t="shared" si="26"/>
        <v>5.6980056980056926E-2</v>
      </c>
      <c r="J59" s="165">
        <f t="shared" si="25"/>
        <v>60</v>
      </c>
      <c r="K59" s="167">
        <f t="shared" si="24"/>
        <v>2.6507264252655907E-4</v>
      </c>
    </row>
    <row r="60" spans="2:11" x14ac:dyDescent="0.25">
      <c r="B60" s="165" t="s">
        <v>122</v>
      </c>
      <c r="C60" s="166">
        <v>175</v>
      </c>
      <c r="D60" s="166">
        <v>476</v>
      </c>
      <c r="E60" s="166">
        <v>649</v>
      </c>
      <c r="F60" s="166">
        <v>683</v>
      </c>
      <c r="G60" s="166">
        <v>736</v>
      </c>
      <c r="H60" s="166">
        <v>908</v>
      </c>
      <c r="I60" s="181">
        <f t="shared" si="26"/>
        <v>0.23369565217391308</v>
      </c>
      <c r="J60" s="165">
        <f t="shared" si="25"/>
        <v>172</v>
      </c>
      <c r="K60" s="167">
        <f t="shared" si="24"/>
        <v>2.1624973891654593E-4</v>
      </c>
    </row>
    <row r="61" spans="2:11" x14ac:dyDescent="0.25">
      <c r="B61" s="165" t="s">
        <v>131</v>
      </c>
      <c r="C61" s="166">
        <v>76</v>
      </c>
      <c r="D61" s="166">
        <v>98</v>
      </c>
      <c r="E61" s="166">
        <v>132</v>
      </c>
      <c r="F61" s="166">
        <v>239</v>
      </c>
      <c r="G61" s="166">
        <v>145</v>
      </c>
      <c r="H61" s="166">
        <v>206</v>
      </c>
      <c r="I61" s="181">
        <f t="shared" si="26"/>
        <v>0.42068965517241375</v>
      </c>
      <c r="J61" s="165">
        <f t="shared" si="25"/>
        <v>61</v>
      </c>
      <c r="K61" s="167">
        <f t="shared" si="24"/>
        <v>4.9061064115427821E-5</v>
      </c>
    </row>
    <row r="62" spans="2:11" x14ac:dyDescent="0.25">
      <c r="B62" s="165" t="s">
        <v>134</v>
      </c>
      <c r="C62" s="166">
        <v>119</v>
      </c>
      <c r="D62" s="166">
        <v>91</v>
      </c>
      <c r="E62" s="166">
        <v>153</v>
      </c>
      <c r="F62" s="166">
        <v>195</v>
      </c>
      <c r="G62" s="166">
        <v>158</v>
      </c>
      <c r="H62" s="166">
        <v>477</v>
      </c>
      <c r="I62" s="181">
        <f t="shared" si="26"/>
        <v>2.018987341772152</v>
      </c>
      <c r="J62" s="165">
        <f t="shared" si="25"/>
        <v>319</v>
      </c>
      <c r="K62" s="167">
        <f t="shared" si="24"/>
        <v>1.1360256108281103E-4</v>
      </c>
    </row>
    <row r="63" spans="2:11" x14ac:dyDescent="0.25">
      <c r="B63" s="170" t="s">
        <v>148</v>
      </c>
      <c r="C63" s="171">
        <f t="shared" ref="C63" si="27">C55-SUM(C56:C62)</f>
        <v>2364</v>
      </c>
      <c r="D63" s="171">
        <f t="shared" ref="D63:H63" si="28">D55-SUM(D56:D62)</f>
        <v>4347</v>
      </c>
      <c r="E63" s="171">
        <f t="shared" si="28"/>
        <v>9249</v>
      </c>
      <c r="F63" s="171">
        <f t="shared" si="28"/>
        <v>10298</v>
      </c>
      <c r="G63" s="171">
        <f t="shared" si="28"/>
        <v>10863</v>
      </c>
      <c r="H63" s="171">
        <f t="shared" si="28"/>
        <v>9982</v>
      </c>
      <c r="I63" s="182">
        <f t="shared" si="26"/>
        <v>-8.1100984994936898E-2</v>
      </c>
      <c r="J63" s="170">
        <f>H63-G63</f>
        <v>-881</v>
      </c>
      <c r="K63" s="172">
        <f t="shared" si="24"/>
        <v>2.3773181650495172E-3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>
        <f t="shared" ref="C65:H65" si="29">C66+C69</f>
        <v>51640</v>
      </c>
      <c r="D65" s="178">
        <f t="shared" si="29"/>
        <v>62020</v>
      </c>
      <c r="E65" s="178">
        <f t="shared" si="29"/>
        <v>151473</v>
      </c>
      <c r="F65" s="178">
        <f t="shared" si="29"/>
        <v>164769</v>
      </c>
      <c r="G65" s="178">
        <f t="shared" si="29"/>
        <v>191595</v>
      </c>
      <c r="H65" s="178">
        <f t="shared" si="29"/>
        <v>151475</v>
      </c>
      <c r="I65" s="179">
        <f>IFERROR(H65/G65-1,"-")</f>
        <v>-0.20940003653540018</v>
      </c>
      <c r="J65" s="178">
        <f>H65-G65</f>
        <v>-40120</v>
      </c>
      <c r="K65" s="179">
        <f t="shared" ref="K65:K77" si="30">H65/H$9</f>
        <v>3.6075362557691407E-2</v>
      </c>
    </row>
    <row r="66" spans="2:11" x14ac:dyDescent="0.25">
      <c r="B66" s="161" t="s">
        <v>100</v>
      </c>
      <c r="C66" s="162">
        <v>22085</v>
      </c>
      <c r="D66" s="162">
        <v>25803</v>
      </c>
      <c r="E66" s="162">
        <v>30941</v>
      </c>
      <c r="F66" s="162">
        <v>42327</v>
      </c>
      <c r="G66" s="162">
        <v>58550</v>
      </c>
      <c r="H66" s="162">
        <v>40777</v>
      </c>
      <c r="I66" s="180">
        <f>IFERROR(H66/G66-1,"-")</f>
        <v>-0.30355251921434667</v>
      </c>
      <c r="J66" s="161">
        <f t="shared" ref="J66:J76" si="31">H66-G66</f>
        <v>-17773</v>
      </c>
      <c r="K66" s="163">
        <f t="shared" si="30"/>
        <v>9.7114709292951476E-3</v>
      </c>
    </row>
    <row r="67" spans="2:11" x14ac:dyDescent="0.25">
      <c r="B67" s="165" t="s">
        <v>106</v>
      </c>
      <c r="C67" s="166">
        <v>7922</v>
      </c>
      <c r="D67" s="166">
        <v>21207</v>
      </c>
      <c r="E67" s="166">
        <v>22920</v>
      </c>
      <c r="F67" s="166">
        <v>28864</v>
      </c>
      <c r="G67" s="166">
        <v>34800</v>
      </c>
      <c r="H67" s="166">
        <v>14323</v>
      </c>
      <c r="I67" s="181">
        <f>IFERROR(H67/G67-1,"-")</f>
        <v>-0.58841954022988507</v>
      </c>
      <c r="J67" s="165">
        <f t="shared" si="31"/>
        <v>-20477</v>
      </c>
      <c r="K67" s="167">
        <f t="shared" si="30"/>
        <v>3.4111729190547217E-3</v>
      </c>
    </row>
    <row r="68" spans="2:11" x14ac:dyDescent="0.25">
      <c r="B68" s="165" t="s">
        <v>103</v>
      </c>
      <c r="C68" s="166">
        <v>14163</v>
      </c>
      <c r="D68" s="166">
        <v>4596</v>
      </c>
      <c r="E68" s="166">
        <v>8021</v>
      </c>
      <c r="F68" s="166">
        <v>13463</v>
      </c>
      <c r="G68" s="166">
        <v>23750</v>
      </c>
      <c r="H68" s="166">
        <v>26454</v>
      </c>
      <c r="I68" s="181">
        <f>IFERROR(H68/G68-1,"-")</f>
        <v>0.11385263157894743</v>
      </c>
      <c r="J68" s="165">
        <f t="shared" si="31"/>
        <v>2704</v>
      </c>
      <c r="K68" s="167">
        <f t="shared" si="30"/>
        <v>6.300298010240425E-3</v>
      </c>
    </row>
    <row r="69" spans="2:11" x14ac:dyDescent="0.25">
      <c r="B69" s="161" t="s">
        <v>110</v>
      </c>
      <c r="C69" s="162">
        <v>29555</v>
      </c>
      <c r="D69" s="162">
        <v>36217</v>
      </c>
      <c r="E69" s="162">
        <v>120532</v>
      </c>
      <c r="F69" s="162">
        <v>122442</v>
      </c>
      <c r="G69" s="162">
        <v>133045</v>
      </c>
      <c r="H69" s="162">
        <v>110698</v>
      </c>
      <c r="I69" s="180">
        <f>IFERROR(H69/G69-1,"-")</f>
        <v>-0.16796572588222025</v>
      </c>
      <c r="J69" s="161">
        <f t="shared" si="31"/>
        <v>-22347</v>
      </c>
      <c r="K69" s="163">
        <f t="shared" si="30"/>
        <v>2.6363891628396259E-2</v>
      </c>
    </row>
    <row r="70" spans="2:11" x14ac:dyDescent="0.25">
      <c r="B70" s="165" t="s">
        <v>113</v>
      </c>
      <c r="C70" s="166">
        <v>13310</v>
      </c>
      <c r="D70" s="166">
        <v>7549</v>
      </c>
      <c r="E70" s="166">
        <v>52809</v>
      </c>
      <c r="F70" s="166">
        <v>47522</v>
      </c>
      <c r="G70" s="166">
        <v>45250</v>
      </c>
      <c r="H70" s="166">
        <v>46430</v>
      </c>
      <c r="I70" s="181">
        <f t="shared" ref="I70:I77" si="32">IFERROR(H70/G70-1,"-")</f>
        <v>2.6077348066298356E-2</v>
      </c>
      <c r="J70" s="165">
        <f t="shared" si="31"/>
        <v>1180</v>
      </c>
      <c r="K70" s="167">
        <f t="shared" si="30"/>
        <v>1.1057792266404435E-2</v>
      </c>
    </row>
    <row r="71" spans="2:11" x14ac:dyDescent="0.25">
      <c r="B71" s="165" t="s">
        <v>116</v>
      </c>
      <c r="C71" s="166">
        <v>3222</v>
      </c>
      <c r="D71" s="166">
        <v>3513</v>
      </c>
      <c r="E71" s="166">
        <v>7009</v>
      </c>
      <c r="F71" s="166">
        <v>10647</v>
      </c>
      <c r="G71" s="166">
        <v>9892</v>
      </c>
      <c r="H71" s="166">
        <v>10514</v>
      </c>
      <c r="I71" s="181">
        <f t="shared" si="32"/>
        <v>6.2879094217549447E-2</v>
      </c>
      <c r="J71" s="165">
        <f t="shared" si="31"/>
        <v>622</v>
      </c>
      <c r="K71" s="167">
        <f t="shared" si="30"/>
        <v>2.5040195539301367E-3</v>
      </c>
    </row>
    <row r="72" spans="2:11" x14ac:dyDescent="0.25">
      <c r="B72" s="165" t="s">
        <v>119</v>
      </c>
      <c r="C72" s="166">
        <v>3375</v>
      </c>
      <c r="D72" s="166">
        <v>6247</v>
      </c>
      <c r="E72" s="166">
        <v>17604</v>
      </c>
      <c r="F72" s="166">
        <v>14089</v>
      </c>
      <c r="G72" s="166">
        <v>19078</v>
      </c>
      <c r="H72" s="166">
        <v>9779</v>
      </c>
      <c r="I72" s="181">
        <f t="shared" si="32"/>
        <v>-0.48742006499633084</v>
      </c>
      <c r="J72" s="165">
        <f t="shared" si="31"/>
        <v>-9299</v>
      </c>
      <c r="K72" s="167">
        <f t="shared" si="30"/>
        <v>2.3289715824503336E-3</v>
      </c>
    </row>
    <row r="73" spans="2:11" x14ac:dyDescent="0.25">
      <c r="B73" s="165" t="s">
        <v>126</v>
      </c>
      <c r="C73" s="166">
        <v>459</v>
      </c>
      <c r="D73" s="166">
        <v>1777</v>
      </c>
      <c r="E73" s="166">
        <v>2468</v>
      </c>
      <c r="F73" s="166">
        <v>3450</v>
      </c>
      <c r="G73" s="166">
        <v>4281</v>
      </c>
      <c r="H73" s="166">
        <v>2636</v>
      </c>
      <c r="I73" s="181">
        <f t="shared" si="32"/>
        <v>-0.38425601494977812</v>
      </c>
      <c r="J73" s="165">
        <f t="shared" si="31"/>
        <v>-1645</v>
      </c>
      <c r="K73" s="167">
        <f t="shared" si="30"/>
        <v>6.2779109227314436E-4</v>
      </c>
    </row>
    <row r="74" spans="2:11" x14ac:dyDescent="0.25">
      <c r="B74" s="165" t="s">
        <v>122</v>
      </c>
      <c r="C74" s="166">
        <v>1163</v>
      </c>
      <c r="D74" s="166">
        <v>1607</v>
      </c>
      <c r="E74" s="166">
        <v>2853</v>
      </c>
      <c r="F74" s="166">
        <v>1813</v>
      </c>
      <c r="G74" s="166">
        <v>3870</v>
      </c>
      <c r="H74" s="166">
        <v>3064</v>
      </c>
      <c r="I74" s="181">
        <f t="shared" si="32"/>
        <v>-0.20826873385012923</v>
      </c>
      <c r="J74" s="165">
        <f t="shared" si="31"/>
        <v>-806</v>
      </c>
      <c r="K74" s="167">
        <f t="shared" si="30"/>
        <v>7.2972378859063522E-4</v>
      </c>
    </row>
    <row r="75" spans="2:11" x14ac:dyDescent="0.25">
      <c r="B75" s="165" t="s">
        <v>131</v>
      </c>
      <c r="C75" s="166">
        <v>651</v>
      </c>
      <c r="D75" s="166">
        <v>1674</v>
      </c>
      <c r="E75" s="166">
        <v>2685</v>
      </c>
      <c r="F75" s="166">
        <v>3726</v>
      </c>
      <c r="G75" s="166">
        <v>2300</v>
      </c>
      <c r="H75" s="166">
        <v>1042</v>
      </c>
      <c r="I75" s="181">
        <f t="shared" si="32"/>
        <v>-0.54695652173913045</v>
      </c>
      <c r="J75" s="165">
        <f t="shared" si="31"/>
        <v>-1258</v>
      </c>
      <c r="K75" s="167">
        <f t="shared" si="30"/>
        <v>2.4816324664211551E-4</v>
      </c>
    </row>
    <row r="76" spans="2:11" x14ac:dyDescent="0.25">
      <c r="B76" s="165" t="s">
        <v>134</v>
      </c>
      <c r="C76" s="166">
        <v>907</v>
      </c>
      <c r="D76" s="166">
        <v>154</v>
      </c>
      <c r="E76" s="166">
        <v>799</v>
      </c>
      <c r="F76" s="166">
        <v>1020</v>
      </c>
      <c r="G76" s="166">
        <v>628</v>
      </c>
      <c r="H76" s="166">
        <v>935</v>
      </c>
      <c r="I76" s="181">
        <f t="shared" si="32"/>
        <v>0.48885350318471343</v>
      </c>
      <c r="J76" s="165">
        <f t="shared" si="31"/>
        <v>307</v>
      </c>
      <c r="K76" s="167">
        <f t="shared" si="30"/>
        <v>2.2268007256274279E-4</v>
      </c>
    </row>
    <row r="77" spans="2:11" x14ac:dyDescent="0.25">
      <c r="B77" s="170" t="s">
        <v>148</v>
      </c>
      <c r="C77" s="171">
        <f t="shared" ref="C77" si="33">C69-SUM(C70:C76)</f>
        <v>6468</v>
      </c>
      <c r="D77" s="171">
        <f t="shared" ref="D77:H77" si="34">D69-SUM(D70:D76)</f>
        <v>13696</v>
      </c>
      <c r="E77" s="171">
        <f t="shared" si="34"/>
        <v>34305</v>
      </c>
      <c r="F77" s="171">
        <f t="shared" si="34"/>
        <v>40175</v>
      </c>
      <c r="G77" s="171">
        <f t="shared" si="34"/>
        <v>47746</v>
      </c>
      <c r="H77" s="171">
        <f t="shared" si="34"/>
        <v>36298</v>
      </c>
      <c r="I77" s="182">
        <f t="shared" si="32"/>
        <v>-0.23976877644200556</v>
      </c>
      <c r="J77" s="170">
        <f>H77-G77</f>
        <v>-11448</v>
      </c>
      <c r="K77" s="172">
        <f t="shared" si="30"/>
        <v>8.6447500255427134E-3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5">C80+C83</f>
        <v>167932</v>
      </c>
      <c r="D79" s="178">
        <f t="shared" si="35"/>
        <v>285256</v>
      </c>
      <c r="E79" s="178">
        <f t="shared" si="35"/>
        <v>574800</v>
      </c>
      <c r="F79" s="178">
        <f t="shared" si="35"/>
        <v>655063</v>
      </c>
      <c r="G79" s="178">
        <f t="shared" si="35"/>
        <v>742545</v>
      </c>
      <c r="H79" s="178">
        <f t="shared" si="35"/>
        <v>747127</v>
      </c>
      <c r="I79" s="179">
        <f>IFERROR(H79/G79-1,"-")</f>
        <v>6.1706697910564046E-3</v>
      </c>
      <c r="J79" s="178">
        <f>H79-G79</f>
        <v>4582</v>
      </c>
      <c r="K79" s="179">
        <f t="shared" ref="K79:K91" si="36">H79/H$9</f>
        <v>0.1779361439289672</v>
      </c>
    </row>
    <row r="80" spans="2:11" x14ac:dyDescent="0.25">
      <c r="B80" s="161" t="s">
        <v>100</v>
      </c>
      <c r="C80" s="162">
        <v>76535</v>
      </c>
      <c r="D80" s="162">
        <v>147596</v>
      </c>
      <c r="E80" s="162">
        <v>279454</v>
      </c>
      <c r="F80" s="162">
        <v>280533</v>
      </c>
      <c r="G80" s="162">
        <v>299948</v>
      </c>
      <c r="H80" s="162">
        <v>308268</v>
      </c>
      <c r="I80" s="180">
        <f>IFERROR(H80/G80-1,"-")</f>
        <v>2.7738141277821482E-2</v>
      </c>
      <c r="J80" s="161">
        <f t="shared" ref="J80:J90" si="37">H80-G80</f>
        <v>8320</v>
      </c>
      <c r="K80" s="163">
        <f t="shared" si="36"/>
        <v>7.3417262683178178E-2</v>
      </c>
    </row>
    <row r="81" spans="2:11" x14ac:dyDescent="0.25">
      <c r="B81" s="165" t="s">
        <v>106</v>
      </c>
      <c r="C81" s="166">
        <v>18128</v>
      </c>
      <c r="D81" s="166">
        <v>48803</v>
      </c>
      <c r="E81" s="166">
        <v>66206</v>
      </c>
      <c r="F81" s="166">
        <v>60951</v>
      </c>
      <c r="G81" s="166">
        <v>72460</v>
      </c>
      <c r="H81" s="166">
        <v>72174</v>
      </c>
      <c r="I81" s="181">
        <f>IFERROR(H81/G81-1,"-")</f>
        <v>-3.9470052442727166E-3</v>
      </c>
      <c r="J81" s="165">
        <f t="shared" si="37"/>
        <v>-286</v>
      </c>
      <c r="K81" s="167">
        <f t="shared" si="36"/>
        <v>1.7188996317800426E-2</v>
      </c>
    </row>
    <row r="82" spans="2:11" x14ac:dyDescent="0.25">
      <c r="B82" s="165" t="s">
        <v>103</v>
      </c>
      <c r="C82" s="166">
        <v>58407</v>
      </c>
      <c r="D82" s="166">
        <v>98793</v>
      </c>
      <c r="E82" s="166">
        <v>213248</v>
      </c>
      <c r="F82" s="166">
        <v>219582</v>
      </c>
      <c r="G82" s="166">
        <v>227488</v>
      </c>
      <c r="H82" s="166">
        <v>236094</v>
      </c>
      <c r="I82" s="181">
        <f>IFERROR(H82/G82-1,"-")</f>
        <v>3.783056688704467E-2</v>
      </c>
      <c r="J82" s="165">
        <f t="shared" si="37"/>
        <v>8606</v>
      </c>
      <c r="K82" s="167">
        <f t="shared" si="36"/>
        <v>5.6228266365377748E-2</v>
      </c>
    </row>
    <row r="83" spans="2:11" x14ac:dyDescent="0.25">
      <c r="B83" s="161" t="s">
        <v>110</v>
      </c>
      <c r="C83" s="162">
        <v>91397</v>
      </c>
      <c r="D83" s="162">
        <v>137660</v>
      </c>
      <c r="E83" s="162">
        <v>295346</v>
      </c>
      <c r="F83" s="162">
        <v>374530</v>
      </c>
      <c r="G83" s="162">
        <v>442597</v>
      </c>
      <c r="H83" s="162">
        <v>438859</v>
      </c>
      <c r="I83" s="180">
        <f>IFERROR(H83/G83-1,"-")</f>
        <v>-8.4456062738789139E-3</v>
      </c>
      <c r="J83" s="161">
        <f t="shared" si="37"/>
        <v>-3738</v>
      </c>
      <c r="K83" s="163">
        <f t="shared" si="36"/>
        <v>0.10451888124578902</v>
      </c>
    </row>
    <row r="84" spans="2:11" x14ac:dyDescent="0.25">
      <c r="B84" s="165" t="s">
        <v>113</v>
      </c>
      <c r="C84" s="166">
        <v>17445</v>
      </c>
      <c r="D84" s="166">
        <v>14438</v>
      </c>
      <c r="E84" s="166">
        <v>62128</v>
      </c>
      <c r="F84" s="166">
        <v>82689</v>
      </c>
      <c r="G84" s="166">
        <v>96507</v>
      </c>
      <c r="H84" s="166">
        <v>101267</v>
      </c>
      <c r="I84" s="181">
        <f t="shared" ref="I84:I91" si="38">IFERROR(H84/G84-1,"-")</f>
        <v>4.9322847047364338E-2</v>
      </c>
      <c r="J84" s="165">
        <f t="shared" si="37"/>
        <v>4760</v>
      </c>
      <c r="K84" s="167">
        <f t="shared" si="36"/>
        <v>2.4117799901830241E-2</v>
      </c>
    </row>
    <row r="85" spans="2:11" x14ac:dyDescent="0.25">
      <c r="B85" s="165" t="s">
        <v>116</v>
      </c>
      <c r="C85" s="166">
        <v>31930</v>
      </c>
      <c r="D85" s="166">
        <v>44660</v>
      </c>
      <c r="E85" s="166">
        <v>97434</v>
      </c>
      <c r="F85" s="166">
        <v>112107</v>
      </c>
      <c r="G85" s="166">
        <v>123583</v>
      </c>
      <c r="H85" s="166">
        <v>119756</v>
      </c>
      <c r="I85" s="181">
        <f t="shared" si="38"/>
        <v>-3.0967042392562094E-2</v>
      </c>
      <c r="J85" s="165">
        <f t="shared" si="37"/>
        <v>-3827</v>
      </c>
      <c r="K85" s="167">
        <f t="shared" si="36"/>
        <v>2.8521149486442594E-2</v>
      </c>
    </row>
    <row r="86" spans="2:11" x14ac:dyDescent="0.25">
      <c r="B86" s="165" t="s">
        <v>119</v>
      </c>
      <c r="C86" s="166">
        <v>6777</v>
      </c>
      <c r="D86" s="166">
        <v>16388</v>
      </c>
      <c r="E86" s="166">
        <v>26003</v>
      </c>
      <c r="F86" s="166">
        <v>37742</v>
      </c>
      <c r="G86" s="166">
        <v>52169</v>
      </c>
      <c r="H86" s="166">
        <v>47159</v>
      </c>
      <c r="I86" s="181">
        <f t="shared" si="38"/>
        <v>-9.6034043205735165E-2</v>
      </c>
      <c r="J86" s="165">
        <f t="shared" si="37"/>
        <v>-5010</v>
      </c>
      <c r="K86" s="167">
        <f t="shared" si="36"/>
        <v>1.1231411274851751E-2</v>
      </c>
    </row>
    <row r="87" spans="2:11" x14ac:dyDescent="0.25">
      <c r="B87" s="165" t="s">
        <v>126</v>
      </c>
      <c r="C87" s="166">
        <v>1446</v>
      </c>
      <c r="D87" s="166">
        <v>3856</v>
      </c>
      <c r="E87" s="166">
        <v>5606</v>
      </c>
      <c r="F87" s="166">
        <v>8001</v>
      </c>
      <c r="G87" s="166">
        <v>12852</v>
      </c>
      <c r="H87" s="166">
        <v>12753</v>
      </c>
      <c r="I87" s="181">
        <f t="shared" si="38"/>
        <v>-7.7030812324929698E-3</v>
      </c>
      <c r="J87" s="165">
        <f t="shared" si="37"/>
        <v>-99</v>
      </c>
      <c r="K87" s="167">
        <f t="shared" si="36"/>
        <v>3.0372609255536458E-3</v>
      </c>
    </row>
    <row r="88" spans="2:11" x14ac:dyDescent="0.25">
      <c r="B88" s="165" t="s">
        <v>122</v>
      </c>
      <c r="C88" s="166">
        <v>1794</v>
      </c>
      <c r="D88" s="166">
        <v>4708</v>
      </c>
      <c r="E88" s="166">
        <v>5083</v>
      </c>
      <c r="F88" s="166">
        <v>6346</v>
      </c>
      <c r="G88" s="166">
        <v>8035</v>
      </c>
      <c r="H88" s="166">
        <v>8564</v>
      </c>
      <c r="I88" s="181">
        <f t="shared" si="38"/>
        <v>6.5836963285625494E-2</v>
      </c>
      <c r="J88" s="165">
        <f t="shared" si="37"/>
        <v>529</v>
      </c>
      <c r="K88" s="167">
        <f t="shared" si="36"/>
        <v>2.0396065683714751E-3</v>
      </c>
    </row>
    <row r="89" spans="2:11" x14ac:dyDescent="0.25">
      <c r="B89" s="165" t="s">
        <v>131</v>
      </c>
      <c r="C89" s="166">
        <v>1708</v>
      </c>
      <c r="D89" s="166">
        <v>1077</v>
      </c>
      <c r="E89" s="166">
        <v>3385</v>
      </c>
      <c r="F89" s="166">
        <v>3803</v>
      </c>
      <c r="G89" s="166">
        <v>3568</v>
      </c>
      <c r="H89" s="166">
        <v>3810</v>
      </c>
      <c r="I89" s="181">
        <f t="shared" si="38"/>
        <v>6.7825112107623209E-2</v>
      </c>
      <c r="J89" s="165">
        <f t="shared" si="37"/>
        <v>242</v>
      </c>
      <c r="K89" s="167">
        <f t="shared" si="36"/>
        <v>9.0739152563000004E-4</v>
      </c>
    </row>
    <row r="90" spans="2:11" x14ac:dyDescent="0.25">
      <c r="B90" s="165" t="s">
        <v>134</v>
      </c>
      <c r="C90" s="166">
        <v>2323</v>
      </c>
      <c r="D90" s="166">
        <v>1332</v>
      </c>
      <c r="E90" s="166">
        <v>3698</v>
      </c>
      <c r="F90" s="166">
        <v>4417</v>
      </c>
      <c r="G90" s="166">
        <v>4728</v>
      </c>
      <c r="H90" s="166">
        <v>3577</v>
      </c>
      <c r="I90" s="181">
        <f t="shared" si="38"/>
        <v>-0.24344331641285955</v>
      </c>
      <c r="J90" s="165">
        <f t="shared" si="37"/>
        <v>-1151</v>
      </c>
      <c r="K90" s="167">
        <f t="shared" si="36"/>
        <v>8.5190012786837534E-4</v>
      </c>
    </row>
    <row r="91" spans="2:11" x14ac:dyDescent="0.25">
      <c r="B91" s="170" t="s">
        <v>148</v>
      </c>
      <c r="C91" s="171">
        <f t="shared" ref="C91" si="39">C83-SUM(C84:C90)</f>
        <v>27974</v>
      </c>
      <c r="D91" s="171">
        <f t="shared" ref="D91:H91" si="40">D83-SUM(D84:D90)</f>
        <v>51201</v>
      </c>
      <c r="E91" s="171">
        <f t="shared" si="40"/>
        <v>92009</v>
      </c>
      <c r="F91" s="171">
        <f t="shared" si="40"/>
        <v>119425</v>
      </c>
      <c r="G91" s="171">
        <f t="shared" si="40"/>
        <v>141155</v>
      </c>
      <c r="H91" s="171">
        <f t="shared" si="40"/>
        <v>141973</v>
      </c>
      <c r="I91" s="182">
        <f t="shared" si="38"/>
        <v>5.7950479968829072E-3</v>
      </c>
      <c r="J91" s="170">
        <f>H91-G91</f>
        <v>818</v>
      </c>
      <c r="K91" s="172">
        <f t="shared" si="36"/>
        <v>3.3812361435240947E-2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>
        <f t="shared" ref="C93:H93" si="41">C94+C97</f>
        <v>22616</v>
      </c>
      <c r="D93" s="178">
        <f t="shared" si="41"/>
        <v>33444</v>
      </c>
      <c r="E93" s="178">
        <f t="shared" si="41"/>
        <v>51485</v>
      </c>
      <c r="F93" s="178">
        <f t="shared" si="41"/>
        <v>58157</v>
      </c>
      <c r="G93" s="178">
        <f t="shared" si="41"/>
        <v>57388</v>
      </c>
      <c r="H93" s="178">
        <f t="shared" si="41"/>
        <v>56585</v>
      </c>
      <c r="I93" s="179">
        <f>IFERROR(H93/G93-1,"-")</f>
        <v>-1.3992472293859359E-2</v>
      </c>
      <c r="J93" s="178">
        <f>H93-G93</f>
        <v>-803</v>
      </c>
      <c r="K93" s="179">
        <f t="shared" ref="K93:K105" si="42">H93/H$9</f>
        <v>1.3476312198890696E-2</v>
      </c>
    </row>
    <row r="94" spans="2:11" x14ac:dyDescent="0.25">
      <c r="B94" s="161" t="s">
        <v>100</v>
      </c>
      <c r="C94" s="162">
        <v>14777</v>
      </c>
      <c r="D94" s="162">
        <v>21732</v>
      </c>
      <c r="E94" s="162">
        <v>33809</v>
      </c>
      <c r="F94" s="162">
        <v>37722</v>
      </c>
      <c r="G94" s="162">
        <v>35821</v>
      </c>
      <c r="H94" s="162">
        <v>35565</v>
      </c>
      <c r="I94" s="180">
        <f>IFERROR(H94/G94-1,"-")</f>
        <v>-7.146645822282971E-3</v>
      </c>
      <c r="J94" s="161">
        <f t="shared" ref="J94:J104" si="43">H94-G94</f>
        <v>-256</v>
      </c>
      <c r="K94" s="163">
        <f t="shared" si="42"/>
        <v>8.4701783750737412E-3</v>
      </c>
    </row>
    <row r="95" spans="2:11" x14ac:dyDescent="0.25">
      <c r="B95" s="165" t="s">
        <v>106</v>
      </c>
      <c r="C95" s="166">
        <v>8025</v>
      </c>
      <c r="D95" s="166">
        <v>11001</v>
      </c>
      <c r="E95" s="166">
        <v>16289</v>
      </c>
      <c r="F95" s="166">
        <v>12024</v>
      </c>
      <c r="G95" s="166">
        <v>11877</v>
      </c>
      <c r="H95" s="166">
        <v>13687</v>
      </c>
      <c r="I95" s="181">
        <f>IFERROR(H95/G95-1,"-")</f>
        <v>0.15239538604024583</v>
      </c>
      <c r="J95" s="165">
        <f t="shared" si="43"/>
        <v>1810</v>
      </c>
      <c r="K95" s="167">
        <f t="shared" si="42"/>
        <v>3.2597028376109738E-3</v>
      </c>
    </row>
    <row r="96" spans="2:11" x14ac:dyDescent="0.25">
      <c r="B96" s="165" t="s">
        <v>103</v>
      </c>
      <c r="C96" s="166">
        <v>6752</v>
      </c>
      <c r="D96" s="166">
        <v>10731</v>
      </c>
      <c r="E96" s="166">
        <v>17520</v>
      </c>
      <c r="F96" s="166">
        <v>25698</v>
      </c>
      <c r="G96" s="166">
        <v>23944</v>
      </c>
      <c r="H96" s="166">
        <v>21878</v>
      </c>
      <c r="I96" s="181">
        <f>IFERROR(H96/G96-1,"-")</f>
        <v>-8.6284664216505158E-2</v>
      </c>
      <c r="J96" s="165">
        <f t="shared" si="43"/>
        <v>-2066</v>
      </c>
      <c r="K96" s="167">
        <f t="shared" si="42"/>
        <v>5.210475537462767E-3</v>
      </c>
    </row>
    <row r="97" spans="2:11" x14ac:dyDescent="0.25">
      <c r="B97" s="161" t="s">
        <v>110</v>
      </c>
      <c r="C97" s="162">
        <v>7839</v>
      </c>
      <c r="D97" s="162">
        <v>11712</v>
      </c>
      <c r="E97" s="162">
        <v>17676</v>
      </c>
      <c r="F97" s="162">
        <v>20435</v>
      </c>
      <c r="G97" s="162">
        <v>21567</v>
      </c>
      <c r="H97" s="162">
        <v>21020</v>
      </c>
      <c r="I97" s="180">
        <f>IFERROR(H97/G97-1,"-")</f>
        <v>-2.5362822831177301E-2</v>
      </c>
      <c r="J97" s="161">
        <f t="shared" si="43"/>
        <v>-547</v>
      </c>
      <c r="K97" s="163">
        <f t="shared" si="42"/>
        <v>5.0061338238169559E-3</v>
      </c>
    </row>
    <row r="98" spans="2:11" x14ac:dyDescent="0.25">
      <c r="B98" s="165" t="s">
        <v>113</v>
      </c>
      <c r="C98" s="166">
        <v>1262</v>
      </c>
      <c r="D98" s="166">
        <v>921</v>
      </c>
      <c r="E98" s="166">
        <v>2403</v>
      </c>
      <c r="F98" s="166">
        <v>2795</v>
      </c>
      <c r="G98" s="166">
        <v>3030</v>
      </c>
      <c r="H98" s="166">
        <v>2551</v>
      </c>
      <c r="I98" s="181">
        <f t="shared" ref="I98:I105" si="44">IFERROR(H98/G98-1,"-")</f>
        <v>-0.15808580858085808</v>
      </c>
      <c r="J98" s="165">
        <f t="shared" si="43"/>
        <v>-479</v>
      </c>
      <c r="K98" s="167">
        <f t="shared" si="42"/>
        <v>6.07547449312895E-4</v>
      </c>
    </row>
    <row r="99" spans="2:11" x14ac:dyDescent="0.25">
      <c r="B99" s="165" t="s">
        <v>116</v>
      </c>
      <c r="C99" s="166">
        <v>1429</v>
      </c>
      <c r="D99" s="166">
        <v>2395</v>
      </c>
      <c r="E99" s="166">
        <v>3482</v>
      </c>
      <c r="F99" s="166">
        <v>3814</v>
      </c>
      <c r="G99" s="166">
        <v>4234</v>
      </c>
      <c r="H99" s="166">
        <v>3931</v>
      </c>
      <c r="I99" s="181">
        <f t="shared" si="44"/>
        <v>-7.1563533301842175E-2</v>
      </c>
      <c r="J99" s="165">
        <f t="shared" si="43"/>
        <v>-303</v>
      </c>
      <c r="K99" s="167">
        <f t="shared" si="42"/>
        <v>9.3620894678517847E-4</v>
      </c>
    </row>
    <row r="100" spans="2:11" x14ac:dyDescent="0.25">
      <c r="B100" s="165" t="s">
        <v>119</v>
      </c>
      <c r="C100" s="166">
        <v>1899</v>
      </c>
      <c r="D100" s="166">
        <v>3541</v>
      </c>
      <c r="E100" s="166">
        <v>3412</v>
      </c>
      <c r="F100" s="166">
        <v>3885</v>
      </c>
      <c r="G100" s="166">
        <v>3685</v>
      </c>
      <c r="H100" s="166">
        <v>3701</v>
      </c>
      <c r="I100" s="181">
        <f t="shared" si="44"/>
        <v>4.3419267299864561E-3</v>
      </c>
      <c r="J100" s="165">
        <f t="shared" si="43"/>
        <v>16</v>
      </c>
      <c r="K100" s="167">
        <f t="shared" si="42"/>
        <v>8.8143203053979793E-4</v>
      </c>
    </row>
    <row r="101" spans="2:11" x14ac:dyDescent="0.25">
      <c r="B101" s="165" t="s">
        <v>126</v>
      </c>
      <c r="C101" s="166">
        <v>316</v>
      </c>
      <c r="D101" s="166">
        <v>432</v>
      </c>
      <c r="E101" s="166">
        <v>1172</v>
      </c>
      <c r="F101" s="166">
        <v>938</v>
      </c>
      <c r="G101" s="166">
        <v>933</v>
      </c>
      <c r="H101" s="166">
        <v>900</v>
      </c>
      <c r="I101" s="181">
        <f t="shared" si="44"/>
        <v>-3.5369774919614128E-2</v>
      </c>
      <c r="J101" s="165">
        <f t="shared" si="43"/>
        <v>-33</v>
      </c>
      <c r="K101" s="167">
        <f t="shared" si="42"/>
        <v>2.1434445487322835E-4</v>
      </c>
    </row>
    <row r="102" spans="2:11" x14ac:dyDescent="0.25">
      <c r="B102" s="165" t="s">
        <v>122</v>
      </c>
      <c r="C102" s="166">
        <v>327</v>
      </c>
      <c r="D102" s="166">
        <v>507</v>
      </c>
      <c r="E102" s="166">
        <v>682</v>
      </c>
      <c r="F102" s="166">
        <v>650</v>
      </c>
      <c r="G102" s="166">
        <v>903</v>
      </c>
      <c r="H102" s="166">
        <v>839</v>
      </c>
      <c r="I102" s="181">
        <f t="shared" si="44"/>
        <v>-7.0874861572535974E-2</v>
      </c>
      <c r="J102" s="165">
        <f t="shared" si="43"/>
        <v>-64</v>
      </c>
      <c r="K102" s="167">
        <f t="shared" si="42"/>
        <v>1.9981666404293177E-4</v>
      </c>
    </row>
    <row r="103" spans="2:11" x14ac:dyDescent="0.25">
      <c r="B103" s="165" t="s">
        <v>131</v>
      </c>
      <c r="C103" s="166">
        <v>120</v>
      </c>
      <c r="D103" s="166">
        <v>105</v>
      </c>
      <c r="E103" s="166">
        <v>270</v>
      </c>
      <c r="F103" s="166">
        <v>153</v>
      </c>
      <c r="G103" s="166">
        <v>230</v>
      </c>
      <c r="H103" s="166">
        <v>185</v>
      </c>
      <c r="I103" s="181">
        <f t="shared" si="44"/>
        <v>-0.19565217391304346</v>
      </c>
      <c r="J103" s="165">
        <f t="shared" si="43"/>
        <v>-45</v>
      </c>
      <c r="K103" s="167">
        <f t="shared" si="42"/>
        <v>4.4059693501719158E-5</v>
      </c>
    </row>
    <row r="104" spans="2:11" x14ac:dyDescent="0.25">
      <c r="B104" s="165" t="s">
        <v>134</v>
      </c>
      <c r="C104" s="166">
        <v>87</v>
      </c>
      <c r="D104" s="166">
        <v>96</v>
      </c>
      <c r="E104" s="166">
        <v>168</v>
      </c>
      <c r="F104" s="166">
        <v>270</v>
      </c>
      <c r="G104" s="166">
        <v>384</v>
      </c>
      <c r="H104" s="166">
        <v>239</v>
      </c>
      <c r="I104" s="181">
        <f t="shared" si="44"/>
        <v>-0.37760416666666663</v>
      </c>
      <c r="J104" s="165">
        <f t="shared" si="43"/>
        <v>-145</v>
      </c>
      <c r="K104" s="167">
        <f t="shared" si="42"/>
        <v>5.6920360794112865E-5</v>
      </c>
    </row>
    <row r="105" spans="2:11" x14ac:dyDescent="0.25">
      <c r="B105" s="170" t="s">
        <v>148</v>
      </c>
      <c r="C105" s="171">
        <f t="shared" ref="C105" si="45">C97-SUM(C98:C104)</f>
        <v>2399</v>
      </c>
      <c r="D105" s="171">
        <f t="shared" ref="D105:H105" si="46">D97-SUM(D98:D104)</f>
        <v>3715</v>
      </c>
      <c r="E105" s="171">
        <f t="shared" si="46"/>
        <v>6087</v>
      </c>
      <c r="F105" s="171">
        <f t="shared" si="46"/>
        <v>7930</v>
      </c>
      <c r="G105" s="171">
        <f t="shared" si="46"/>
        <v>8168</v>
      </c>
      <c r="H105" s="171">
        <f t="shared" si="46"/>
        <v>8674</v>
      </c>
      <c r="I105" s="182">
        <f t="shared" si="44"/>
        <v>6.1949069539666946E-2</v>
      </c>
      <c r="J105" s="170">
        <f>H105-G105</f>
        <v>506</v>
      </c>
      <c r="K105" s="172">
        <f t="shared" si="42"/>
        <v>2.0658042239670919E-3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7">C108+C111</f>
        <v>62298</v>
      </c>
      <c r="D107" s="178">
        <f t="shared" si="47"/>
        <v>94072</v>
      </c>
      <c r="E107" s="178">
        <f t="shared" si="47"/>
        <v>169794</v>
      </c>
      <c r="F107" s="178">
        <f t="shared" si="47"/>
        <v>220761</v>
      </c>
      <c r="G107" s="178">
        <f t="shared" si="47"/>
        <v>207278</v>
      </c>
      <c r="H107" s="178">
        <f t="shared" si="47"/>
        <v>217984</v>
      </c>
      <c r="I107" s="179">
        <f>IFERROR(H107/G107-1,"-")</f>
        <v>5.1650440471251224E-2</v>
      </c>
      <c r="J107" s="178">
        <f>H107-G107</f>
        <v>10706</v>
      </c>
      <c r="K107" s="179">
        <f t="shared" ref="K107:K119" si="48">H107/H$9</f>
        <v>5.1915179612317564E-2</v>
      </c>
    </row>
    <row r="108" spans="2:11" x14ac:dyDescent="0.25">
      <c r="B108" s="161" t="s">
        <v>100</v>
      </c>
      <c r="C108" s="162">
        <v>28280</v>
      </c>
      <c r="D108" s="162">
        <v>38667</v>
      </c>
      <c r="E108" s="162">
        <v>41132</v>
      </c>
      <c r="F108" s="162">
        <v>48543</v>
      </c>
      <c r="G108" s="162">
        <v>43479</v>
      </c>
      <c r="H108" s="162">
        <v>46333</v>
      </c>
      <c r="I108" s="180">
        <f>IFERROR(H108/G108-1,"-")</f>
        <v>6.5640884104970265E-2</v>
      </c>
      <c r="J108" s="161">
        <f t="shared" ref="J108:J118" si="49">H108-G108</f>
        <v>2854</v>
      </c>
      <c r="K108" s="163">
        <f t="shared" si="48"/>
        <v>1.103469069737921E-2</v>
      </c>
    </row>
    <row r="109" spans="2:11" x14ac:dyDescent="0.25">
      <c r="B109" s="165" t="s">
        <v>106</v>
      </c>
      <c r="C109" s="166">
        <v>3378</v>
      </c>
      <c r="D109" s="166">
        <v>19359</v>
      </c>
      <c r="E109" s="166">
        <v>11031</v>
      </c>
      <c r="F109" s="166">
        <v>14560</v>
      </c>
      <c r="G109" s="166">
        <v>12208</v>
      </c>
      <c r="H109" s="166">
        <v>17174</v>
      </c>
      <c r="I109" s="181">
        <f>IFERROR(H109/G109-1,"-")</f>
        <v>0.40678243774574052</v>
      </c>
      <c r="J109" s="165">
        <f t="shared" si="49"/>
        <v>4966</v>
      </c>
      <c r="K109" s="167">
        <f t="shared" si="48"/>
        <v>4.0901685199920268E-3</v>
      </c>
    </row>
    <row r="110" spans="2:11" x14ac:dyDescent="0.25">
      <c r="B110" s="165" t="s">
        <v>103</v>
      </c>
      <c r="C110" s="166">
        <v>24902</v>
      </c>
      <c r="D110" s="166">
        <v>19308</v>
      </c>
      <c r="E110" s="166">
        <v>30101</v>
      </c>
      <c r="F110" s="166">
        <v>33983</v>
      </c>
      <c r="G110" s="166">
        <v>31271</v>
      </c>
      <c r="H110" s="166">
        <v>29159</v>
      </c>
      <c r="I110" s="181">
        <f>IFERROR(H110/G110-1,"-")</f>
        <v>-6.7538614051357526E-2</v>
      </c>
      <c r="J110" s="165">
        <f t="shared" si="49"/>
        <v>-2112</v>
      </c>
      <c r="K110" s="167">
        <f t="shared" si="48"/>
        <v>6.9445221773871838E-3</v>
      </c>
    </row>
    <row r="111" spans="2:11" x14ac:dyDescent="0.25">
      <c r="B111" s="161" t="s">
        <v>110</v>
      </c>
      <c r="C111" s="162">
        <v>34018</v>
      </c>
      <c r="D111" s="162">
        <v>55405</v>
      </c>
      <c r="E111" s="162">
        <v>128662</v>
      </c>
      <c r="F111" s="162">
        <v>172218</v>
      </c>
      <c r="G111" s="162">
        <v>163799</v>
      </c>
      <c r="H111" s="162">
        <v>171651</v>
      </c>
      <c r="I111" s="180">
        <f>IFERROR(H111/G111-1,"-")</f>
        <v>4.7936800590968165E-2</v>
      </c>
      <c r="J111" s="161">
        <f t="shared" si="49"/>
        <v>7852</v>
      </c>
      <c r="K111" s="163">
        <f t="shared" si="48"/>
        <v>4.0880488914938354E-2</v>
      </c>
    </row>
    <row r="112" spans="2:11" x14ac:dyDescent="0.25">
      <c r="B112" s="165" t="s">
        <v>113</v>
      </c>
      <c r="C112" s="166">
        <v>19439</v>
      </c>
      <c r="D112" s="166">
        <v>22937</v>
      </c>
      <c r="E112" s="166">
        <v>77726</v>
      </c>
      <c r="F112" s="166">
        <v>113230</v>
      </c>
      <c r="G112" s="166">
        <v>102157</v>
      </c>
      <c r="H112" s="166">
        <v>102824</v>
      </c>
      <c r="I112" s="181">
        <f t="shared" ref="I112:I119" si="50">IFERROR(H112/G112-1,"-")</f>
        <v>6.5291658917157047E-3</v>
      </c>
      <c r="J112" s="165">
        <f t="shared" si="49"/>
        <v>667</v>
      </c>
      <c r="K112" s="167">
        <f t="shared" si="48"/>
        <v>2.4488615808760925E-2</v>
      </c>
    </row>
    <row r="113" spans="2:11" x14ac:dyDescent="0.25">
      <c r="B113" s="165" t="s">
        <v>116</v>
      </c>
      <c r="C113" s="166">
        <v>2695</v>
      </c>
      <c r="D113" s="166">
        <v>6731</v>
      </c>
      <c r="E113" s="166">
        <v>5917</v>
      </c>
      <c r="F113" s="166">
        <v>7594</v>
      </c>
      <c r="G113" s="166">
        <v>7215</v>
      </c>
      <c r="H113" s="166">
        <v>8179</v>
      </c>
      <c r="I113" s="181">
        <f t="shared" si="50"/>
        <v>0.13361053361053354</v>
      </c>
      <c r="J113" s="165">
        <f t="shared" si="49"/>
        <v>964</v>
      </c>
      <c r="K113" s="167">
        <f t="shared" si="48"/>
        <v>1.9479147737868163E-3</v>
      </c>
    </row>
    <row r="114" spans="2:11" x14ac:dyDescent="0.25">
      <c r="B114" s="165" t="s">
        <v>119</v>
      </c>
      <c r="C114" s="166">
        <v>1859</v>
      </c>
      <c r="D114" s="166">
        <v>6002</v>
      </c>
      <c r="E114" s="166">
        <v>8638</v>
      </c>
      <c r="F114" s="166">
        <v>12056</v>
      </c>
      <c r="G114" s="166">
        <v>12800</v>
      </c>
      <c r="H114" s="166">
        <v>14175</v>
      </c>
      <c r="I114" s="181">
        <f t="shared" si="50"/>
        <v>0.107421875</v>
      </c>
      <c r="J114" s="165">
        <f t="shared" si="49"/>
        <v>1375</v>
      </c>
      <c r="K114" s="167">
        <f t="shared" si="48"/>
        <v>3.3759251642533467E-3</v>
      </c>
    </row>
    <row r="115" spans="2:11" x14ac:dyDescent="0.25">
      <c r="B115" s="165" t="s">
        <v>126</v>
      </c>
      <c r="C115" s="166">
        <v>1095</v>
      </c>
      <c r="D115" s="166">
        <v>3493</v>
      </c>
      <c r="E115" s="166">
        <v>5894</v>
      </c>
      <c r="F115" s="166">
        <v>6032</v>
      </c>
      <c r="G115" s="166">
        <v>5918</v>
      </c>
      <c r="H115" s="166">
        <v>5786</v>
      </c>
      <c r="I115" s="181">
        <f t="shared" si="50"/>
        <v>-2.2304832713754608E-2</v>
      </c>
      <c r="J115" s="165">
        <f t="shared" si="49"/>
        <v>-132</v>
      </c>
      <c r="K115" s="167">
        <f t="shared" si="48"/>
        <v>1.3779966843294436E-3</v>
      </c>
    </row>
    <row r="116" spans="2:11" x14ac:dyDescent="0.25">
      <c r="B116" s="165" t="s">
        <v>122</v>
      </c>
      <c r="C116" s="166">
        <v>2545</v>
      </c>
      <c r="D116" s="166">
        <v>4145</v>
      </c>
      <c r="E116" s="166">
        <v>4317</v>
      </c>
      <c r="F116" s="166">
        <v>4916</v>
      </c>
      <c r="G116" s="166">
        <v>4686</v>
      </c>
      <c r="H116" s="166">
        <v>4352</v>
      </c>
      <c r="I116" s="181">
        <f t="shared" si="50"/>
        <v>-7.1276141698676909E-2</v>
      </c>
      <c r="J116" s="165">
        <f t="shared" si="49"/>
        <v>-334</v>
      </c>
      <c r="K116" s="167">
        <f t="shared" si="48"/>
        <v>1.0364745195647665E-3</v>
      </c>
    </row>
    <row r="117" spans="2:11" x14ac:dyDescent="0.25">
      <c r="B117" s="165" t="s">
        <v>131</v>
      </c>
      <c r="C117" s="166">
        <v>226</v>
      </c>
      <c r="D117" s="166">
        <v>308</v>
      </c>
      <c r="E117" s="166">
        <v>1123</v>
      </c>
      <c r="F117" s="166">
        <v>1300</v>
      </c>
      <c r="G117" s="166">
        <v>1069</v>
      </c>
      <c r="H117" s="166">
        <v>1258</v>
      </c>
      <c r="I117" s="181">
        <f t="shared" si="50"/>
        <v>0.17680074836295612</v>
      </c>
      <c r="J117" s="165">
        <f t="shared" si="49"/>
        <v>189</v>
      </c>
      <c r="K117" s="167">
        <f t="shared" si="48"/>
        <v>2.9960591581169031E-4</v>
      </c>
    </row>
    <row r="118" spans="2:11" x14ac:dyDescent="0.25">
      <c r="B118" s="165" t="s">
        <v>134</v>
      </c>
      <c r="C118" s="166">
        <v>549</v>
      </c>
      <c r="D118" s="166">
        <v>470</v>
      </c>
      <c r="E118" s="166">
        <v>840</v>
      </c>
      <c r="F118" s="166">
        <v>770</v>
      </c>
      <c r="G118" s="166">
        <v>1368</v>
      </c>
      <c r="H118" s="166">
        <v>921</v>
      </c>
      <c r="I118" s="181">
        <f t="shared" si="50"/>
        <v>-0.32675438596491224</v>
      </c>
      <c r="J118" s="165">
        <f t="shared" si="49"/>
        <v>-447</v>
      </c>
      <c r="K118" s="167">
        <f t="shared" si="48"/>
        <v>2.1934582548693702E-4</v>
      </c>
    </row>
    <row r="119" spans="2:11" x14ac:dyDescent="0.25">
      <c r="B119" s="170" t="s">
        <v>148</v>
      </c>
      <c r="C119" s="171">
        <f t="shared" ref="C119" si="51">C111-SUM(C112:C118)</f>
        <v>5610</v>
      </c>
      <c r="D119" s="171">
        <f t="shared" ref="D119:H119" si="52">D111-SUM(D112:D118)</f>
        <v>11319</v>
      </c>
      <c r="E119" s="171">
        <f t="shared" si="52"/>
        <v>24207</v>
      </c>
      <c r="F119" s="171">
        <f t="shared" si="52"/>
        <v>26320</v>
      </c>
      <c r="G119" s="171">
        <f t="shared" si="52"/>
        <v>28586</v>
      </c>
      <c r="H119" s="171">
        <f t="shared" si="52"/>
        <v>34156</v>
      </c>
      <c r="I119" s="182">
        <f t="shared" si="50"/>
        <v>0.19485062618064797</v>
      </c>
      <c r="J119" s="170">
        <f>H119-G119</f>
        <v>5570</v>
      </c>
      <c r="K119" s="172">
        <f t="shared" si="48"/>
        <v>8.1346102229444307E-3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>
        <f t="shared" ref="C121:H121" si="53">C122+C125</f>
        <v>91416</v>
      </c>
      <c r="D121" s="178">
        <f t="shared" si="53"/>
        <v>164258</v>
      </c>
      <c r="E121" s="178">
        <f t="shared" si="53"/>
        <v>229131</v>
      </c>
      <c r="F121" s="178">
        <f t="shared" si="53"/>
        <v>240044</v>
      </c>
      <c r="G121" s="178">
        <f t="shared" si="53"/>
        <v>250407</v>
      </c>
      <c r="H121" s="178">
        <f t="shared" si="53"/>
        <v>282601</v>
      </c>
      <c r="I121" s="179">
        <f>IFERROR(H121/G121-1,"-")</f>
        <v>0.12856669342310711</v>
      </c>
      <c r="J121" s="178">
        <f>H121-G121</f>
        <v>32194</v>
      </c>
      <c r="K121" s="179">
        <f t="shared" ref="K121:K133" si="54">H121/H$9</f>
        <v>6.7304396990699122E-2</v>
      </c>
    </row>
    <row r="122" spans="2:11" x14ac:dyDescent="0.25">
      <c r="B122" s="161" t="s">
        <v>100</v>
      </c>
      <c r="C122" s="162">
        <v>52879</v>
      </c>
      <c r="D122" s="162">
        <v>104557</v>
      </c>
      <c r="E122" s="162">
        <v>134886</v>
      </c>
      <c r="F122" s="162">
        <v>147214</v>
      </c>
      <c r="G122" s="162">
        <v>155988</v>
      </c>
      <c r="H122" s="162">
        <v>178403</v>
      </c>
      <c r="I122" s="180">
        <f>IFERROR(H122/G122-1,"-")</f>
        <v>0.14369695104751656</v>
      </c>
      <c r="J122" s="161">
        <f t="shared" ref="J122:J132" si="55">H122-G122</f>
        <v>22415</v>
      </c>
      <c r="K122" s="163">
        <f t="shared" si="54"/>
        <v>4.2488548647498396E-2</v>
      </c>
    </row>
    <row r="123" spans="2:11" x14ac:dyDescent="0.25">
      <c r="B123" s="165" t="s">
        <v>106</v>
      </c>
      <c r="C123" s="166">
        <v>24076</v>
      </c>
      <c r="D123" s="166">
        <v>53247</v>
      </c>
      <c r="E123" s="166">
        <v>69865</v>
      </c>
      <c r="F123" s="166">
        <v>67025</v>
      </c>
      <c r="G123" s="166">
        <v>75188</v>
      </c>
      <c r="H123" s="166">
        <v>93462</v>
      </c>
      <c r="I123" s="181">
        <f>IFERROR(H123/G123-1,"-")</f>
        <v>0.24304410278235888</v>
      </c>
      <c r="J123" s="165">
        <f t="shared" si="55"/>
        <v>18274</v>
      </c>
      <c r="K123" s="167">
        <f t="shared" si="54"/>
        <v>2.2258957157068521E-2</v>
      </c>
    </row>
    <row r="124" spans="2:11" x14ac:dyDescent="0.25">
      <c r="B124" s="165" t="s">
        <v>103</v>
      </c>
      <c r="C124" s="166">
        <v>28803</v>
      </c>
      <c r="D124" s="166">
        <v>51310</v>
      </c>
      <c r="E124" s="166">
        <v>65021</v>
      </c>
      <c r="F124" s="166">
        <v>80189</v>
      </c>
      <c r="G124" s="166">
        <v>80800</v>
      </c>
      <c r="H124" s="166">
        <v>84941</v>
      </c>
      <c r="I124" s="181">
        <f>IFERROR(H124/G124-1,"-")</f>
        <v>5.1250000000000018E-2</v>
      </c>
      <c r="J124" s="165">
        <f t="shared" si="55"/>
        <v>4141</v>
      </c>
      <c r="K124" s="167">
        <f t="shared" si="54"/>
        <v>2.0229591490429879E-2</v>
      </c>
    </row>
    <row r="125" spans="2:11" x14ac:dyDescent="0.25">
      <c r="B125" s="161" t="s">
        <v>110</v>
      </c>
      <c r="C125" s="162">
        <v>38537</v>
      </c>
      <c r="D125" s="162">
        <v>59701</v>
      </c>
      <c r="E125" s="162">
        <v>94245</v>
      </c>
      <c r="F125" s="162">
        <v>92830</v>
      </c>
      <c r="G125" s="162">
        <v>94419</v>
      </c>
      <c r="H125" s="162">
        <v>104198</v>
      </c>
      <c r="I125" s="180">
        <f>IFERROR(H125/G125-1,"-")</f>
        <v>0.10357025598661296</v>
      </c>
      <c r="J125" s="161">
        <f t="shared" si="55"/>
        <v>9779</v>
      </c>
      <c r="K125" s="163">
        <f t="shared" si="54"/>
        <v>2.4815848343200719E-2</v>
      </c>
    </row>
    <row r="126" spans="2:11" x14ac:dyDescent="0.25">
      <c r="B126" s="165" t="s">
        <v>113</v>
      </c>
      <c r="C126" s="166">
        <v>3706</v>
      </c>
      <c r="D126" s="166">
        <v>3336</v>
      </c>
      <c r="E126" s="166">
        <v>9917</v>
      </c>
      <c r="F126" s="166">
        <v>11654</v>
      </c>
      <c r="G126" s="166">
        <v>10678</v>
      </c>
      <c r="H126" s="166">
        <v>10456</v>
      </c>
      <c r="I126" s="181">
        <f t="shared" ref="I126:I133" si="56">IFERROR(H126/G126-1,"-")</f>
        <v>-2.0790410189174047E-2</v>
      </c>
      <c r="J126" s="165">
        <f t="shared" si="55"/>
        <v>-222</v>
      </c>
      <c r="K126" s="167">
        <f t="shared" si="54"/>
        <v>2.4902062446160839E-3</v>
      </c>
    </row>
    <row r="127" spans="2:11" x14ac:dyDescent="0.25">
      <c r="B127" s="165" t="s">
        <v>116</v>
      </c>
      <c r="C127" s="166">
        <v>3876</v>
      </c>
      <c r="D127" s="166">
        <v>7314</v>
      </c>
      <c r="E127" s="166">
        <v>11261</v>
      </c>
      <c r="F127" s="166">
        <v>13315</v>
      </c>
      <c r="G127" s="166">
        <v>13141</v>
      </c>
      <c r="H127" s="166">
        <v>15417</v>
      </c>
      <c r="I127" s="181">
        <f t="shared" si="56"/>
        <v>0.17319838672855936</v>
      </c>
      <c r="J127" s="165">
        <f t="shared" si="55"/>
        <v>2276</v>
      </c>
      <c r="K127" s="167">
        <f t="shared" si="54"/>
        <v>3.6717205119784018E-3</v>
      </c>
    </row>
    <row r="128" spans="2:11" x14ac:dyDescent="0.25">
      <c r="B128" s="165" t="s">
        <v>119</v>
      </c>
      <c r="C128" s="166">
        <v>2774</v>
      </c>
      <c r="D128" s="166">
        <v>7134</v>
      </c>
      <c r="E128" s="166">
        <v>8524</v>
      </c>
      <c r="F128" s="166">
        <v>8780</v>
      </c>
      <c r="G128" s="166">
        <v>8587</v>
      </c>
      <c r="H128" s="166">
        <v>9534</v>
      </c>
      <c r="I128" s="181">
        <f t="shared" si="56"/>
        <v>0.11028298590893204</v>
      </c>
      <c r="J128" s="165">
        <f t="shared" si="55"/>
        <v>947</v>
      </c>
      <c r="K128" s="167">
        <f t="shared" si="54"/>
        <v>2.2706222586237322E-3</v>
      </c>
    </row>
    <row r="129" spans="2:11" x14ac:dyDescent="0.25">
      <c r="B129" s="165" t="s">
        <v>126</v>
      </c>
      <c r="C129" s="166">
        <v>715</v>
      </c>
      <c r="D129" s="166">
        <v>1333</v>
      </c>
      <c r="E129" s="166">
        <v>2573</v>
      </c>
      <c r="F129" s="166">
        <v>2637</v>
      </c>
      <c r="G129" s="166">
        <v>2356</v>
      </c>
      <c r="H129" s="166">
        <v>2766</v>
      </c>
      <c r="I129" s="181">
        <f t="shared" si="56"/>
        <v>0.17402376910016981</v>
      </c>
      <c r="J129" s="165">
        <f t="shared" si="55"/>
        <v>410</v>
      </c>
      <c r="K129" s="167">
        <f t="shared" si="54"/>
        <v>6.5875195797705517E-4</v>
      </c>
    </row>
    <row r="130" spans="2:11" x14ac:dyDescent="0.25">
      <c r="B130" s="165" t="s">
        <v>122</v>
      </c>
      <c r="C130" s="166">
        <v>756</v>
      </c>
      <c r="D130" s="166">
        <v>1357</v>
      </c>
      <c r="E130" s="166">
        <v>1836</v>
      </c>
      <c r="F130" s="166">
        <v>1935</v>
      </c>
      <c r="G130" s="166">
        <v>2097</v>
      </c>
      <c r="H130" s="166">
        <v>2540</v>
      </c>
      <c r="I130" s="181">
        <f t="shared" si="56"/>
        <v>0.21125417262756319</v>
      </c>
      <c r="J130" s="165">
        <f t="shared" si="55"/>
        <v>443</v>
      </c>
      <c r="K130" s="167">
        <f t="shared" si="54"/>
        <v>6.0492768375333336E-4</v>
      </c>
    </row>
    <row r="131" spans="2:11" x14ac:dyDescent="0.25">
      <c r="B131" s="165" t="s">
        <v>131</v>
      </c>
      <c r="C131" s="166">
        <v>671</v>
      </c>
      <c r="D131" s="166">
        <v>555</v>
      </c>
      <c r="E131" s="166">
        <v>1075</v>
      </c>
      <c r="F131" s="166">
        <v>1342</v>
      </c>
      <c r="G131" s="166">
        <v>1334</v>
      </c>
      <c r="H131" s="166">
        <v>1128</v>
      </c>
      <c r="I131" s="181">
        <f t="shared" si="56"/>
        <v>-0.15442278860569714</v>
      </c>
      <c r="J131" s="165">
        <f t="shared" si="55"/>
        <v>-206</v>
      </c>
      <c r="K131" s="167">
        <f t="shared" si="54"/>
        <v>2.6864505010777955E-4</v>
      </c>
    </row>
    <row r="132" spans="2:11" x14ac:dyDescent="0.25">
      <c r="B132" s="165" t="s">
        <v>134</v>
      </c>
      <c r="C132" s="166">
        <v>1081</v>
      </c>
      <c r="D132" s="166">
        <v>919</v>
      </c>
      <c r="E132" s="166">
        <v>1885</v>
      </c>
      <c r="F132" s="166">
        <v>2455</v>
      </c>
      <c r="G132" s="166">
        <v>2502</v>
      </c>
      <c r="H132" s="166">
        <v>2367</v>
      </c>
      <c r="I132" s="181">
        <f t="shared" si="56"/>
        <v>-5.3956834532374098E-2</v>
      </c>
      <c r="J132" s="165">
        <f t="shared" si="55"/>
        <v>-135</v>
      </c>
      <c r="K132" s="167">
        <f t="shared" si="54"/>
        <v>5.6372591631659058E-4</v>
      </c>
    </row>
    <row r="133" spans="2:11" x14ac:dyDescent="0.25">
      <c r="B133" s="170" t="s">
        <v>148</v>
      </c>
      <c r="C133" s="171">
        <f t="shared" ref="C133" si="57">C125-SUM(C126:C132)</f>
        <v>24958</v>
      </c>
      <c r="D133" s="171">
        <f t="shared" ref="D133:H133" si="58">D125-SUM(D126:D132)</f>
        <v>37753</v>
      </c>
      <c r="E133" s="171">
        <f t="shared" si="58"/>
        <v>57174</v>
      </c>
      <c r="F133" s="171">
        <f t="shared" si="58"/>
        <v>50712</v>
      </c>
      <c r="G133" s="171">
        <f t="shared" si="58"/>
        <v>53724</v>
      </c>
      <c r="H133" s="171">
        <f t="shared" si="58"/>
        <v>59990</v>
      </c>
      <c r="I133" s="182">
        <f t="shared" si="56"/>
        <v>0.11663316208770746</v>
      </c>
      <c r="J133" s="170">
        <f>H133-G133</f>
        <v>6266</v>
      </c>
      <c r="K133" s="172">
        <f t="shared" si="54"/>
        <v>1.4287248719827743E-2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9">C136+C139</f>
        <v>71022</v>
      </c>
      <c r="D135" s="178">
        <f t="shared" si="59"/>
        <v>116590</v>
      </c>
      <c r="E135" s="178">
        <f t="shared" si="59"/>
        <v>211298</v>
      </c>
      <c r="F135" s="178">
        <f t="shared" si="59"/>
        <v>231221</v>
      </c>
      <c r="G135" s="178">
        <f t="shared" si="59"/>
        <v>236470</v>
      </c>
      <c r="H135" s="178">
        <f t="shared" si="59"/>
        <v>232777</v>
      </c>
      <c r="I135" s="179">
        <f>IFERROR(H135/G135-1,"-")</f>
        <v>-1.5617203027868176E-2</v>
      </c>
      <c r="J135" s="178">
        <f>H135-G135</f>
        <v>-3693</v>
      </c>
      <c r="K135" s="179">
        <f t="shared" ref="K135:K147" si="60">H135/H$9</f>
        <v>5.5438287968917199E-2</v>
      </c>
    </row>
    <row r="136" spans="2:11" x14ac:dyDescent="0.25">
      <c r="B136" s="161" t="s">
        <v>100</v>
      </c>
      <c r="C136" s="162">
        <v>18253</v>
      </c>
      <c r="D136" s="162">
        <v>37770</v>
      </c>
      <c r="E136" s="162">
        <v>21329</v>
      </c>
      <c r="F136" s="162">
        <v>24816</v>
      </c>
      <c r="G136" s="162">
        <v>21484</v>
      </c>
      <c r="H136" s="162">
        <v>23745</v>
      </c>
      <c r="I136" s="180">
        <f>IFERROR(H136/G136-1,"-")</f>
        <v>0.10524110966300504</v>
      </c>
      <c r="J136" s="161">
        <f t="shared" ref="J136:J146" si="61">H136-G136</f>
        <v>2261</v>
      </c>
      <c r="K136" s="163">
        <f t="shared" si="60"/>
        <v>5.6551212010720079E-3</v>
      </c>
    </row>
    <row r="137" spans="2:11" x14ac:dyDescent="0.25">
      <c r="B137" s="165" t="s">
        <v>106</v>
      </c>
      <c r="C137" s="166">
        <v>13223</v>
      </c>
      <c r="D137" s="166">
        <v>29524</v>
      </c>
      <c r="E137" s="166">
        <v>14679</v>
      </c>
      <c r="F137" s="166">
        <v>16252</v>
      </c>
      <c r="G137" s="166">
        <v>13022</v>
      </c>
      <c r="H137" s="166">
        <v>14530</v>
      </c>
      <c r="I137" s="181">
        <f>IFERROR(H137/G137-1,"-")</f>
        <v>0.11580402395945333</v>
      </c>
      <c r="J137" s="165">
        <f t="shared" si="61"/>
        <v>1508</v>
      </c>
      <c r="K137" s="167">
        <f t="shared" si="60"/>
        <v>3.4604721436755645E-3</v>
      </c>
    </row>
    <row r="138" spans="2:11" x14ac:dyDescent="0.25">
      <c r="B138" s="165" t="s">
        <v>103</v>
      </c>
      <c r="C138" s="166">
        <v>5030</v>
      </c>
      <c r="D138" s="166">
        <v>8246</v>
      </c>
      <c r="E138" s="166">
        <v>6650</v>
      </c>
      <c r="F138" s="166">
        <v>8564</v>
      </c>
      <c r="G138" s="166">
        <v>8462</v>
      </c>
      <c r="H138" s="166">
        <v>9215</v>
      </c>
      <c r="I138" s="181">
        <f>IFERROR(H138/G138-1,"-")</f>
        <v>8.8986055306074174E-2</v>
      </c>
      <c r="J138" s="165">
        <f t="shared" si="61"/>
        <v>753</v>
      </c>
      <c r="K138" s="167">
        <f t="shared" si="60"/>
        <v>2.1946490573964438E-3</v>
      </c>
    </row>
    <row r="139" spans="2:11" x14ac:dyDescent="0.25">
      <c r="B139" s="161" t="s">
        <v>110</v>
      </c>
      <c r="C139" s="162">
        <v>52769</v>
      </c>
      <c r="D139" s="162">
        <v>78820</v>
      </c>
      <c r="E139" s="162">
        <v>189969</v>
      </c>
      <c r="F139" s="162">
        <v>206405</v>
      </c>
      <c r="G139" s="162">
        <v>214986</v>
      </c>
      <c r="H139" s="162">
        <v>209032</v>
      </c>
      <c r="I139" s="180">
        <f>IFERROR(H139/G139-1,"-")</f>
        <v>-2.7694826639874215E-2</v>
      </c>
      <c r="J139" s="161">
        <f t="shared" si="61"/>
        <v>-5954</v>
      </c>
      <c r="K139" s="163">
        <f t="shared" si="60"/>
        <v>4.9783166767845187E-2</v>
      </c>
    </row>
    <row r="140" spans="2:11" x14ac:dyDescent="0.25">
      <c r="B140" s="165" t="s">
        <v>113</v>
      </c>
      <c r="C140" s="166">
        <v>18492</v>
      </c>
      <c r="D140" s="166">
        <v>22202</v>
      </c>
      <c r="E140" s="166">
        <v>82145</v>
      </c>
      <c r="F140" s="166">
        <v>89762</v>
      </c>
      <c r="G140" s="166">
        <v>97508</v>
      </c>
      <c r="H140" s="166">
        <v>95395</v>
      </c>
      <c r="I140" s="181">
        <f t="shared" ref="I140:I147" si="62">IFERROR(H140/G140-1,"-")</f>
        <v>-2.1670016819132831E-2</v>
      </c>
      <c r="J140" s="165">
        <f t="shared" si="61"/>
        <v>-2113</v>
      </c>
      <c r="K140" s="167">
        <f t="shared" si="60"/>
        <v>2.2719321414035133E-2</v>
      </c>
    </row>
    <row r="141" spans="2:11" x14ac:dyDescent="0.25">
      <c r="B141" s="165" t="s">
        <v>116</v>
      </c>
      <c r="C141" s="166">
        <v>4762</v>
      </c>
      <c r="D141" s="166">
        <v>7702</v>
      </c>
      <c r="E141" s="166">
        <v>13518</v>
      </c>
      <c r="F141" s="166">
        <v>18144</v>
      </c>
      <c r="G141" s="166">
        <v>18601</v>
      </c>
      <c r="H141" s="166">
        <v>18702</v>
      </c>
      <c r="I141" s="181">
        <f t="shared" si="62"/>
        <v>5.4298156013117271E-3</v>
      </c>
      <c r="J141" s="165">
        <f t="shared" si="61"/>
        <v>101</v>
      </c>
      <c r="K141" s="167">
        <f t="shared" si="60"/>
        <v>4.4540777722656853E-3</v>
      </c>
    </row>
    <row r="142" spans="2:11" x14ac:dyDescent="0.25">
      <c r="B142" s="165" t="s">
        <v>119</v>
      </c>
      <c r="C142" s="166">
        <v>5672</v>
      </c>
      <c r="D142" s="166">
        <v>13038</v>
      </c>
      <c r="E142" s="166">
        <v>22971</v>
      </c>
      <c r="F142" s="166">
        <v>21076</v>
      </c>
      <c r="G142" s="166">
        <v>20538</v>
      </c>
      <c r="H142" s="166">
        <v>19537</v>
      </c>
      <c r="I142" s="181">
        <f t="shared" si="62"/>
        <v>-4.8738922972051846E-2</v>
      </c>
      <c r="J142" s="165">
        <f t="shared" si="61"/>
        <v>-1001</v>
      </c>
      <c r="K142" s="167">
        <f t="shared" si="60"/>
        <v>4.6529417942869581E-3</v>
      </c>
    </row>
    <row r="143" spans="2:11" x14ac:dyDescent="0.25">
      <c r="B143" s="165" t="s">
        <v>126</v>
      </c>
      <c r="C143" s="166">
        <v>723</v>
      </c>
      <c r="D143" s="166">
        <v>3759</v>
      </c>
      <c r="E143" s="166">
        <v>8266</v>
      </c>
      <c r="F143" s="166">
        <v>7399</v>
      </c>
      <c r="G143" s="166">
        <v>5132</v>
      </c>
      <c r="H143" s="166">
        <v>4349</v>
      </c>
      <c r="I143" s="181">
        <f t="shared" si="62"/>
        <v>-0.15257209664848015</v>
      </c>
      <c r="J143" s="165">
        <f t="shared" si="61"/>
        <v>-783</v>
      </c>
      <c r="K143" s="167">
        <f t="shared" si="60"/>
        <v>1.0357600380485224E-3</v>
      </c>
    </row>
    <row r="144" spans="2:11" x14ac:dyDescent="0.25">
      <c r="B144" s="165" t="s">
        <v>122</v>
      </c>
      <c r="C144" s="166">
        <v>1607</v>
      </c>
      <c r="D144" s="166">
        <v>2820</v>
      </c>
      <c r="E144" s="166">
        <v>3688</v>
      </c>
      <c r="F144" s="166">
        <v>4718</v>
      </c>
      <c r="G144" s="166">
        <v>4750</v>
      </c>
      <c r="H144" s="166">
        <v>3731</v>
      </c>
      <c r="I144" s="181">
        <f t="shared" si="62"/>
        <v>-0.21452631578947368</v>
      </c>
      <c r="J144" s="165">
        <f t="shared" si="61"/>
        <v>-1019</v>
      </c>
      <c r="K144" s="167">
        <f t="shared" si="60"/>
        <v>8.885768457022389E-4</v>
      </c>
    </row>
    <row r="145" spans="2:11" x14ac:dyDescent="0.25">
      <c r="B145" s="165" t="s">
        <v>131</v>
      </c>
      <c r="C145" s="166">
        <v>1592</v>
      </c>
      <c r="D145" s="166">
        <v>1197</v>
      </c>
      <c r="E145" s="166">
        <v>2905</v>
      </c>
      <c r="F145" s="166">
        <v>3247</v>
      </c>
      <c r="G145" s="166">
        <v>3030</v>
      </c>
      <c r="H145" s="166">
        <v>2935</v>
      </c>
      <c r="I145" s="181">
        <f t="shared" si="62"/>
        <v>-3.1353135313531344E-2</v>
      </c>
      <c r="J145" s="165">
        <f t="shared" si="61"/>
        <v>-95</v>
      </c>
      <c r="K145" s="167">
        <f t="shared" si="60"/>
        <v>6.990010833921391E-4</v>
      </c>
    </row>
    <row r="146" spans="2:11" x14ac:dyDescent="0.25">
      <c r="B146" s="165" t="s">
        <v>134</v>
      </c>
      <c r="C146" s="166">
        <v>3374</v>
      </c>
      <c r="D146" s="166">
        <v>790</v>
      </c>
      <c r="E146" s="166">
        <v>1686</v>
      </c>
      <c r="F146" s="166">
        <v>2306</v>
      </c>
      <c r="G146" s="166">
        <v>2147</v>
      </c>
      <c r="H146" s="166">
        <v>1666</v>
      </c>
      <c r="I146" s="181">
        <f t="shared" si="62"/>
        <v>-0.22403353516534696</v>
      </c>
      <c r="J146" s="165">
        <f t="shared" si="61"/>
        <v>-481</v>
      </c>
      <c r="K146" s="167">
        <f t="shared" si="60"/>
        <v>3.9677540202088716E-4</v>
      </c>
    </row>
    <row r="147" spans="2:11" x14ac:dyDescent="0.25">
      <c r="B147" s="170" t="s">
        <v>148</v>
      </c>
      <c r="C147" s="171">
        <f t="shared" ref="C147" si="63">C139-SUM(C140:C146)</f>
        <v>16547</v>
      </c>
      <c r="D147" s="171">
        <f t="shared" ref="D147:H147" si="64">D139-SUM(D140:D146)</f>
        <v>27312</v>
      </c>
      <c r="E147" s="171">
        <f t="shared" si="64"/>
        <v>54790</v>
      </c>
      <c r="F147" s="171">
        <f t="shared" si="64"/>
        <v>59753</v>
      </c>
      <c r="G147" s="171">
        <f t="shared" si="64"/>
        <v>63280</v>
      </c>
      <c r="H147" s="171">
        <f t="shared" si="64"/>
        <v>62717</v>
      </c>
      <c r="I147" s="182">
        <f t="shared" si="62"/>
        <v>-8.8969658659924233E-3</v>
      </c>
      <c r="J147" s="170">
        <f>H147-G147</f>
        <v>-563</v>
      </c>
      <c r="K147" s="172">
        <f t="shared" si="60"/>
        <v>1.4936712418093625E-2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65">C150+C153</f>
        <v>38032</v>
      </c>
      <c r="D149" s="178">
        <f t="shared" si="65"/>
        <v>70788</v>
      </c>
      <c r="E149" s="178">
        <f t="shared" si="65"/>
        <v>108068</v>
      </c>
      <c r="F149" s="178">
        <f t="shared" si="65"/>
        <v>113850</v>
      </c>
      <c r="G149" s="178">
        <f t="shared" si="65"/>
        <v>117114</v>
      </c>
      <c r="H149" s="178">
        <f t="shared" si="65"/>
        <v>111271</v>
      </c>
      <c r="I149" s="179">
        <f>IFERROR(H149/G149-1,"-")</f>
        <v>-4.9891558652253365E-2</v>
      </c>
      <c r="J149" s="178">
        <f>H149-G149</f>
        <v>-5843</v>
      </c>
      <c r="K149" s="179">
        <f t="shared" ref="K149:K161" si="66">H149/H$9</f>
        <v>2.6500357597998882E-2</v>
      </c>
    </row>
    <row r="150" spans="2:11" x14ac:dyDescent="0.25">
      <c r="B150" s="161" t="s">
        <v>100</v>
      </c>
      <c r="C150" s="162">
        <v>19160</v>
      </c>
      <c r="D150" s="162">
        <v>40138</v>
      </c>
      <c r="E150" s="162">
        <v>56632</v>
      </c>
      <c r="F150" s="162">
        <v>56777</v>
      </c>
      <c r="G150" s="162">
        <v>52917</v>
      </c>
      <c r="H150" s="162">
        <v>47366</v>
      </c>
      <c r="I150" s="180">
        <f>IFERROR(H150/G150-1,"-")</f>
        <v>-0.10490012661337567</v>
      </c>
      <c r="J150" s="161">
        <f t="shared" ref="J150:J160" si="67">H150-G150</f>
        <v>-5551</v>
      </c>
      <c r="K150" s="163">
        <f t="shared" si="66"/>
        <v>1.1280710499472593E-2</v>
      </c>
    </row>
    <row r="151" spans="2:11" x14ac:dyDescent="0.25">
      <c r="B151" s="165" t="s">
        <v>106</v>
      </c>
      <c r="C151" s="166">
        <v>12001</v>
      </c>
      <c r="D151" s="166">
        <v>32300</v>
      </c>
      <c r="E151" s="166">
        <v>41224</v>
      </c>
      <c r="F151" s="166">
        <v>42625</v>
      </c>
      <c r="G151" s="166">
        <v>36789</v>
      </c>
      <c r="H151" s="166">
        <v>30211</v>
      </c>
      <c r="I151" s="181">
        <f>IFERROR(H151/G151-1,"-")</f>
        <v>-0.1788034466824322</v>
      </c>
      <c r="J151" s="165">
        <f t="shared" si="67"/>
        <v>-6578</v>
      </c>
      <c r="K151" s="167">
        <f t="shared" si="66"/>
        <v>7.195067029083446E-3</v>
      </c>
    </row>
    <row r="152" spans="2:11" x14ac:dyDescent="0.25">
      <c r="B152" s="165" t="s">
        <v>103</v>
      </c>
      <c r="C152" s="166">
        <v>7159</v>
      </c>
      <c r="D152" s="166">
        <v>7838</v>
      </c>
      <c r="E152" s="166">
        <v>15408</v>
      </c>
      <c r="F152" s="166">
        <v>14152</v>
      </c>
      <c r="G152" s="166">
        <v>16128</v>
      </c>
      <c r="H152" s="166">
        <v>17155</v>
      </c>
      <c r="I152" s="181">
        <f>IFERROR(H152/G152-1,"-")</f>
        <v>6.3678075396825351E-2</v>
      </c>
      <c r="J152" s="165">
        <f t="shared" si="67"/>
        <v>1027</v>
      </c>
      <c r="K152" s="167">
        <f t="shared" si="66"/>
        <v>4.0856434703891468E-3</v>
      </c>
    </row>
    <row r="153" spans="2:11" x14ac:dyDescent="0.25">
      <c r="B153" s="161" t="s">
        <v>110</v>
      </c>
      <c r="C153" s="162">
        <v>18872</v>
      </c>
      <c r="D153" s="162">
        <v>30650</v>
      </c>
      <c r="E153" s="162">
        <v>51436</v>
      </c>
      <c r="F153" s="162">
        <v>57073</v>
      </c>
      <c r="G153" s="162">
        <v>64197</v>
      </c>
      <c r="H153" s="162">
        <v>63905</v>
      </c>
      <c r="I153" s="180">
        <f>IFERROR(H153/G153-1,"-")</f>
        <v>-4.5484991510507111E-3</v>
      </c>
      <c r="J153" s="161">
        <f t="shared" si="67"/>
        <v>-292</v>
      </c>
      <c r="K153" s="163">
        <f t="shared" si="66"/>
        <v>1.5219647098526287E-2</v>
      </c>
    </row>
    <row r="154" spans="2:11" x14ac:dyDescent="0.25">
      <c r="B154" s="165" t="s">
        <v>113</v>
      </c>
      <c r="C154" s="166">
        <v>5515</v>
      </c>
      <c r="D154" s="166">
        <v>5598</v>
      </c>
      <c r="E154" s="166">
        <v>19171</v>
      </c>
      <c r="F154" s="166">
        <v>18750</v>
      </c>
      <c r="G154" s="166">
        <v>19791</v>
      </c>
      <c r="H154" s="166">
        <v>17488</v>
      </c>
      <c r="I154" s="181">
        <f t="shared" ref="I154:I161" si="68">IFERROR(H154/G154-1,"-")</f>
        <v>-0.11636602496084081</v>
      </c>
      <c r="J154" s="165">
        <f t="shared" si="67"/>
        <v>-2303</v>
      </c>
      <c r="K154" s="167">
        <f t="shared" si="66"/>
        <v>4.1649509186922418E-3</v>
      </c>
    </row>
    <row r="155" spans="2:11" x14ac:dyDescent="0.25">
      <c r="B155" s="165" t="s">
        <v>116</v>
      </c>
      <c r="C155" s="166">
        <v>4511</v>
      </c>
      <c r="D155" s="166">
        <v>8036</v>
      </c>
      <c r="E155" s="166">
        <v>9936</v>
      </c>
      <c r="F155" s="166">
        <v>10332</v>
      </c>
      <c r="G155" s="166">
        <v>10102</v>
      </c>
      <c r="H155" s="166">
        <v>10525</v>
      </c>
      <c r="I155" s="181">
        <f t="shared" si="68"/>
        <v>4.1872896456147224E-2</v>
      </c>
      <c r="J155" s="165">
        <f t="shared" si="67"/>
        <v>423</v>
      </c>
      <c r="K155" s="167">
        <f t="shared" si="66"/>
        <v>2.5066393194896983E-3</v>
      </c>
    </row>
    <row r="156" spans="2:11" x14ac:dyDescent="0.25">
      <c r="B156" s="165" t="s">
        <v>119</v>
      </c>
      <c r="C156" s="166">
        <v>2227</v>
      </c>
      <c r="D156" s="166">
        <v>5124</v>
      </c>
      <c r="E156" s="166">
        <v>6472</v>
      </c>
      <c r="F156" s="166">
        <v>9249</v>
      </c>
      <c r="G156" s="166">
        <v>11724</v>
      </c>
      <c r="H156" s="166">
        <v>15180</v>
      </c>
      <c r="I156" s="181">
        <f t="shared" si="68"/>
        <v>0.29477993858751272</v>
      </c>
      <c r="J156" s="165">
        <f t="shared" si="67"/>
        <v>3456</v>
      </c>
      <c r="K156" s="167">
        <f t="shared" si="66"/>
        <v>3.6152764721951182E-3</v>
      </c>
    </row>
    <row r="157" spans="2:11" x14ac:dyDescent="0.25">
      <c r="B157" s="165" t="s">
        <v>126</v>
      </c>
      <c r="C157" s="166">
        <v>570</v>
      </c>
      <c r="D157" s="166">
        <v>906</v>
      </c>
      <c r="E157" s="166">
        <v>1617</v>
      </c>
      <c r="F157" s="166">
        <v>1502</v>
      </c>
      <c r="G157" s="166">
        <v>1867</v>
      </c>
      <c r="H157" s="166">
        <v>1924</v>
      </c>
      <c r="I157" s="181">
        <f t="shared" si="68"/>
        <v>3.0530262453133394E-2</v>
      </c>
      <c r="J157" s="165">
        <f t="shared" si="67"/>
        <v>57</v>
      </c>
      <c r="K157" s="167">
        <f t="shared" si="66"/>
        <v>4.5822081241787929E-4</v>
      </c>
    </row>
    <row r="158" spans="2:11" x14ac:dyDescent="0.25">
      <c r="B158" s="165" t="s">
        <v>122</v>
      </c>
      <c r="C158" s="166">
        <v>1192</v>
      </c>
      <c r="D158" s="166">
        <v>1744</v>
      </c>
      <c r="E158" s="166">
        <v>2943</v>
      </c>
      <c r="F158" s="166">
        <v>2874</v>
      </c>
      <c r="G158" s="166">
        <v>3312</v>
      </c>
      <c r="H158" s="166">
        <v>2501</v>
      </c>
      <c r="I158" s="181">
        <f t="shared" si="68"/>
        <v>-0.24486714975845414</v>
      </c>
      <c r="J158" s="165">
        <f t="shared" si="67"/>
        <v>-811</v>
      </c>
      <c r="K158" s="167">
        <f t="shared" si="66"/>
        <v>5.9563942404216013E-4</v>
      </c>
    </row>
    <row r="159" spans="2:11" x14ac:dyDescent="0.25">
      <c r="B159" s="165" t="s">
        <v>131</v>
      </c>
      <c r="C159" s="166">
        <v>230</v>
      </c>
      <c r="D159" s="166">
        <v>282</v>
      </c>
      <c r="E159" s="166">
        <v>472</v>
      </c>
      <c r="F159" s="166">
        <v>432</v>
      </c>
      <c r="G159" s="166">
        <v>374</v>
      </c>
      <c r="H159" s="166">
        <v>296</v>
      </c>
      <c r="I159" s="181">
        <f t="shared" si="68"/>
        <v>-0.20855614973262027</v>
      </c>
      <c r="J159" s="165">
        <f t="shared" si="67"/>
        <v>-78</v>
      </c>
      <c r="K159" s="167">
        <f t="shared" si="66"/>
        <v>7.0495509602750659E-5</v>
      </c>
    </row>
    <row r="160" spans="2:11" x14ac:dyDescent="0.25">
      <c r="B160" s="165" t="s">
        <v>134</v>
      </c>
      <c r="C160" s="166">
        <v>295</v>
      </c>
      <c r="D160" s="166">
        <v>446</v>
      </c>
      <c r="E160" s="166">
        <v>654</v>
      </c>
      <c r="F160" s="166">
        <v>832</v>
      </c>
      <c r="G160" s="166">
        <v>582</v>
      </c>
      <c r="H160" s="166">
        <v>436</v>
      </c>
      <c r="I160" s="181">
        <f t="shared" si="68"/>
        <v>-0.25085910652920962</v>
      </c>
      <c r="J160" s="165">
        <f t="shared" si="67"/>
        <v>-146</v>
      </c>
      <c r="K160" s="167">
        <f t="shared" si="66"/>
        <v>1.038379803608084E-4</v>
      </c>
    </row>
    <row r="161" spans="2:11" x14ac:dyDescent="0.25">
      <c r="B161" s="170" t="s">
        <v>148</v>
      </c>
      <c r="C161" s="171">
        <f t="shared" ref="C161" si="69">C153-SUM(C154:C160)</f>
        <v>4332</v>
      </c>
      <c r="D161" s="171">
        <f t="shared" ref="D161:H161" si="70">D153-SUM(D154:D160)</f>
        <v>8514</v>
      </c>
      <c r="E161" s="171">
        <f t="shared" si="70"/>
        <v>10171</v>
      </c>
      <c r="F161" s="171">
        <f t="shared" si="70"/>
        <v>13102</v>
      </c>
      <c r="G161" s="171">
        <f t="shared" si="70"/>
        <v>16445</v>
      </c>
      <c r="H161" s="171">
        <f t="shared" si="70"/>
        <v>15555</v>
      </c>
      <c r="I161" s="182">
        <f t="shared" si="68"/>
        <v>-5.4119793250228088E-2</v>
      </c>
      <c r="J161" s="170">
        <f>H161-G161</f>
        <v>-890</v>
      </c>
      <c r="K161" s="172">
        <f t="shared" si="66"/>
        <v>3.7045866617256302E-3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686E7-0022-4B00-AC8A-FF85EFCB33D0}">
  <sheetPr>
    <tabColor theme="7" tint="0.79998168889431442"/>
    <pageSetUpPr fitToPage="1"/>
  </sheetPr>
  <dimension ref="A1:W163"/>
  <sheetViews>
    <sheetView showGridLines="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3" max="13" width="11.42578125" customWidth="1"/>
    <col min="14" max="23" width="11.42578125" hidden="1" customWidth="1"/>
  </cols>
  <sheetData>
    <row r="1" spans="1:23" ht="42.75" customHeight="1" x14ac:dyDescent="0.25"/>
    <row r="4" spans="1:23" ht="42" customHeight="1" thickBot="1" x14ac:dyDescent="0.3">
      <c r="B4" s="283" t="str">
        <f>CONCATENATE("Viajeros entrados en los apartamentos de Tenerife según lugar de residencia y municipio de alojamiento")</f>
        <v>Viajeros entrados en los apartamentos de Tenerife según lugar de residencia y municipio de alojamiento</v>
      </c>
      <c r="C4" s="283"/>
      <c r="D4" s="283"/>
      <c r="E4" s="283"/>
      <c r="F4" s="283"/>
      <c r="G4" s="283"/>
      <c r="H4" s="283"/>
      <c r="I4" s="283"/>
      <c r="J4" s="146"/>
      <c r="K4" s="146"/>
      <c r="N4" s="145" t="s">
        <v>274</v>
      </c>
      <c r="O4" s="146"/>
      <c r="P4" s="146"/>
      <c r="Q4" s="146"/>
      <c r="R4" s="146"/>
      <c r="S4" s="146"/>
      <c r="T4" s="146"/>
      <c r="U4" s="146"/>
      <c r="V4" s="146"/>
      <c r="W4" s="146"/>
    </row>
    <row r="5" spans="1:23" ht="6" customHeight="1" x14ac:dyDescent="0.25"/>
    <row r="6" spans="1:23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N6" s="147"/>
      <c r="O6" s="313" t="s">
        <v>46</v>
      </c>
      <c r="P6" s="314"/>
      <c r="Q6" s="314"/>
      <c r="R6" s="314"/>
      <c r="S6" s="314"/>
      <c r="T6" s="314"/>
      <c r="U6" s="314"/>
      <c r="V6" s="314"/>
      <c r="W6" s="314"/>
    </row>
    <row r="7" spans="1:23" s="148" customFormat="1" ht="72" customHeight="1" x14ac:dyDescent="0.25">
      <c r="B7" s="149"/>
      <c r="C7" s="174" t="s">
        <v>267</v>
      </c>
      <c r="D7" s="174" t="s">
        <v>268</v>
      </c>
      <c r="E7" s="174" t="s">
        <v>269</v>
      </c>
      <c r="F7" s="174" t="s">
        <v>270</v>
      </c>
      <c r="G7" s="174" t="s">
        <v>271</v>
      </c>
      <c r="H7" s="174" t="s">
        <v>272</v>
      </c>
      <c r="I7" s="175" t="str">
        <f>CONCATENATE("var. ",RIGHT(H7,2),"/",RIGHT(G7,2))</f>
        <v>var. 25/24</v>
      </c>
      <c r="J7" s="174" t="str">
        <f>CONCATENATE("dif. ",RIGHT(H7,2),"/",RIGHT(G7,2))</f>
        <v>dif. 25/24</v>
      </c>
      <c r="K7" s="175" t="str">
        <f>CONCATENATE("Cuota s/ total lugares de residencia ",RIGHT(H7,4))</f>
        <v>Cuota s/ total lugares de residencia 2025</v>
      </c>
      <c r="N7" s="149"/>
      <c r="O7" s="174" t="s">
        <v>267</v>
      </c>
      <c r="P7" s="174" t="s">
        <v>268</v>
      </c>
      <c r="Q7" s="174" t="s">
        <v>269</v>
      </c>
      <c r="R7" s="174" t="s">
        <v>270</v>
      </c>
      <c r="S7" s="174" t="s">
        <v>271</v>
      </c>
      <c r="T7" s="174" t="s">
        <v>272</v>
      </c>
      <c r="U7" s="175" t="str">
        <f>CONCATENATE("var. ",RIGHT(T7,2),"/",RIGHT(S7,2))</f>
        <v>var. 25/24</v>
      </c>
      <c r="V7" s="174" t="str">
        <f>CONCATENATE("dif. ",RIGHT(T7,2),"/",RIGHT(S7,2))</f>
        <v>dif. 25/24</v>
      </c>
      <c r="W7" s="175" t="str">
        <f>CONCATENATE("Cuota s/ total lugares de residencia ",RIGHT(T7,4))</f>
        <v>Cuota s/ total lugares de residencia 2025</v>
      </c>
    </row>
    <row r="8" spans="1:23" x14ac:dyDescent="0.25">
      <c r="A8" s="1"/>
      <c r="B8" s="154" t="s">
        <v>46</v>
      </c>
      <c r="C8" s="155"/>
      <c r="D8" s="155"/>
      <c r="E8" s="155"/>
      <c r="F8" s="155"/>
      <c r="G8" s="155"/>
      <c r="H8" s="156"/>
      <c r="I8" s="156"/>
      <c r="J8" s="156"/>
      <c r="K8" s="155"/>
      <c r="N8" s="157" t="s">
        <v>48</v>
      </c>
      <c r="O8" s="155"/>
      <c r="P8" s="155"/>
      <c r="Q8" s="155"/>
      <c r="R8" s="155"/>
      <c r="S8" s="155"/>
      <c r="T8" s="156"/>
      <c r="U8" s="156"/>
      <c r="V8" s="156"/>
      <c r="W8" s="155"/>
    </row>
    <row r="9" spans="1:23" x14ac:dyDescent="0.25">
      <c r="A9" s="1" t="s">
        <v>99</v>
      </c>
      <c r="B9" s="158" t="s">
        <v>71</v>
      </c>
      <c r="C9" s="178">
        <f t="shared" ref="C9:H9" si="0">C10+C13</f>
        <v>363484</v>
      </c>
      <c r="D9" s="178">
        <f t="shared" si="0"/>
        <v>477407</v>
      </c>
      <c r="E9" s="178">
        <f t="shared" si="0"/>
        <v>980810</v>
      </c>
      <c r="F9" s="178">
        <f t="shared" si="0"/>
        <v>1100249</v>
      </c>
      <c r="G9" s="178">
        <f t="shared" si="0"/>
        <v>1200748</v>
      </c>
      <c r="H9" s="178">
        <f t="shared" si="0"/>
        <v>1252419</v>
      </c>
      <c r="I9" s="179">
        <f>IFERROR(H9/G9-1,"-")</f>
        <v>4.3032343172755727E-2</v>
      </c>
      <c r="J9" s="178">
        <f t="shared" ref="J9:J21" si="1">H9-G9</f>
        <v>51671</v>
      </c>
      <c r="K9" s="179">
        <f t="shared" ref="K9:K21" si="2">H9/H$9</f>
        <v>1</v>
      </c>
      <c r="N9" s="158" t="s">
        <v>71</v>
      </c>
      <c r="O9" s="178">
        <f t="shared" ref="O9:T9" si="3">O10+O13</f>
        <v>158323</v>
      </c>
      <c r="P9" s="178">
        <f t="shared" si="3"/>
        <v>235509</v>
      </c>
      <c r="Q9" s="178">
        <f t="shared" si="3"/>
        <v>490978</v>
      </c>
      <c r="R9" s="178">
        <f t="shared" si="3"/>
        <v>509465</v>
      </c>
      <c r="S9" s="178">
        <f t="shared" si="3"/>
        <v>526356</v>
      </c>
      <c r="T9" s="178">
        <f t="shared" si="3"/>
        <v>544782</v>
      </c>
      <c r="U9" s="179">
        <f>IFERROR(T9/S9-1,"-")</f>
        <v>3.5006725486172785E-2</v>
      </c>
      <c r="V9" s="178">
        <f>T9-S9</f>
        <v>18426</v>
      </c>
      <c r="W9" s="179">
        <f t="shared" ref="W9:W21" si="4">T9/T$9</f>
        <v>1</v>
      </c>
    </row>
    <row r="10" spans="1:23" x14ac:dyDescent="0.25">
      <c r="A10" s="164" t="s">
        <v>106</v>
      </c>
      <c r="B10" s="161" t="s">
        <v>100</v>
      </c>
      <c r="C10" s="162">
        <v>79304</v>
      </c>
      <c r="D10" s="162">
        <v>131035</v>
      </c>
      <c r="E10" s="162">
        <v>154711</v>
      </c>
      <c r="F10" s="162">
        <v>159974</v>
      </c>
      <c r="G10" s="162">
        <v>169853</v>
      </c>
      <c r="H10" s="162">
        <v>186473</v>
      </c>
      <c r="I10" s="180">
        <f>IFERROR(H10/G10-1,"-")</f>
        <v>9.7849316762141481E-2</v>
      </c>
      <c r="J10" s="161">
        <f t="shared" si="1"/>
        <v>16620</v>
      </c>
      <c r="K10" s="163">
        <f t="shared" si="2"/>
        <v>0.14889026755422904</v>
      </c>
      <c r="N10" s="161" t="s">
        <v>100</v>
      </c>
      <c r="O10" s="162">
        <v>24919</v>
      </c>
      <c r="P10" s="162">
        <v>43634</v>
      </c>
      <c r="Q10" s="162">
        <v>40863</v>
      </c>
      <c r="R10" s="162">
        <v>37825</v>
      </c>
      <c r="S10" s="162">
        <v>33853</v>
      </c>
      <c r="T10" s="162">
        <v>38281</v>
      </c>
      <c r="U10" s="180">
        <f>IFERROR(T10/S10-1,"-")</f>
        <v>0.1308008152896345</v>
      </c>
      <c r="V10" s="161">
        <f t="shared" ref="V10:V20" si="5">T10-S10</f>
        <v>4428</v>
      </c>
      <c r="W10" s="163">
        <f t="shared" si="4"/>
        <v>7.0268474362221958E-2</v>
      </c>
    </row>
    <row r="11" spans="1:23" x14ac:dyDescent="0.25">
      <c r="A11" s="164" t="s">
        <v>103</v>
      </c>
      <c r="B11" s="165" t="s">
        <v>106</v>
      </c>
      <c r="C11" s="166">
        <v>57111</v>
      </c>
      <c r="D11" s="166">
        <v>90896</v>
      </c>
      <c r="E11" s="166">
        <v>90339</v>
      </c>
      <c r="F11" s="166">
        <v>88721</v>
      </c>
      <c r="G11" s="166">
        <v>82629</v>
      </c>
      <c r="H11" s="166">
        <v>82898</v>
      </c>
      <c r="I11" s="181">
        <f>IFERROR(H11/G11-1,"-")</f>
        <v>3.2555156180034128E-3</v>
      </c>
      <c r="J11" s="165">
        <f t="shared" si="1"/>
        <v>269</v>
      </c>
      <c r="K11" s="167">
        <f t="shared" si="2"/>
        <v>6.619030851496184E-2</v>
      </c>
      <c r="N11" s="165" t="s">
        <v>106</v>
      </c>
      <c r="O11" s="166">
        <v>19672</v>
      </c>
      <c r="P11" s="166">
        <v>34405</v>
      </c>
      <c r="Q11" s="166">
        <v>29416</v>
      </c>
      <c r="R11" s="166">
        <v>22977</v>
      </c>
      <c r="S11" s="166">
        <v>18844</v>
      </c>
      <c r="T11" s="166">
        <v>21569</v>
      </c>
      <c r="U11" s="181">
        <f>IFERROR(T11/S11-1,"-")</f>
        <v>0.14460836340479721</v>
      </c>
      <c r="V11" s="165">
        <f t="shared" si="5"/>
        <v>2725</v>
      </c>
      <c r="W11" s="167">
        <f>T11/T$9</f>
        <v>3.9591983582423794E-2</v>
      </c>
    </row>
    <row r="12" spans="1:23" x14ac:dyDescent="0.25">
      <c r="A12" s="1"/>
      <c r="B12" s="165" t="s">
        <v>103</v>
      </c>
      <c r="C12" s="166">
        <v>22193</v>
      </c>
      <c r="D12" s="166">
        <v>40139</v>
      </c>
      <c r="E12" s="166">
        <v>64372</v>
      </c>
      <c r="F12" s="166">
        <v>71253</v>
      </c>
      <c r="G12" s="166">
        <v>87224</v>
      </c>
      <c r="H12" s="166">
        <v>103575</v>
      </c>
      <c r="I12" s="181">
        <f>IFERROR(H12/G12-1,"-")</f>
        <v>0.18745987342933135</v>
      </c>
      <c r="J12" s="165">
        <f t="shared" si="1"/>
        <v>16351</v>
      </c>
      <c r="K12" s="167">
        <f t="shared" si="2"/>
        <v>8.2699959039267204E-2</v>
      </c>
      <c r="N12" s="165" t="s">
        <v>103</v>
      </c>
      <c r="O12" s="166">
        <v>5247</v>
      </c>
      <c r="P12" s="166">
        <v>9229</v>
      </c>
      <c r="Q12" s="166">
        <v>11447</v>
      </c>
      <c r="R12" s="166">
        <v>14848</v>
      </c>
      <c r="S12" s="166">
        <v>15009</v>
      </c>
      <c r="T12" s="166">
        <v>16712</v>
      </c>
      <c r="U12" s="181">
        <f>IFERROR(T12/S12-1,"-")</f>
        <v>0.11346525418082476</v>
      </c>
      <c r="V12" s="165">
        <f t="shared" si="5"/>
        <v>1703</v>
      </c>
      <c r="W12" s="167">
        <f t="shared" si="4"/>
        <v>3.0676490779798157E-2</v>
      </c>
    </row>
    <row r="13" spans="1:23" s="58" customFormat="1" x14ac:dyDescent="0.25">
      <c r="B13" s="161" t="s">
        <v>110</v>
      </c>
      <c r="C13" s="162">
        <v>284180</v>
      </c>
      <c r="D13" s="162">
        <v>346372</v>
      </c>
      <c r="E13" s="162">
        <v>826099</v>
      </c>
      <c r="F13" s="162">
        <v>940275</v>
      </c>
      <c r="G13" s="162">
        <v>1030895</v>
      </c>
      <c r="H13" s="162">
        <v>1065946</v>
      </c>
      <c r="I13" s="180">
        <f>IFERROR(H13/G13-1,"-")</f>
        <v>3.4000552917610394E-2</v>
      </c>
      <c r="J13" s="161">
        <f t="shared" si="1"/>
        <v>35051</v>
      </c>
      <c r="K13" s="163">
        <f t="shared" si="2"/>
        <v>0.85110973244577093</v>
      </c>
      <c r="N13" s="161" t="s">
        <v>110</v>
      </c>
      <c r="O13" s="162">
        <v>133404</v>
      </c>
      <c r="P13" s="162">
        <v>191875</v>
      </c>
      <c r="Q13" s="162">
        <v>450115</v>
      </c>
      <c r="R13" s="162">
        <v>471640</v>
      </c>
      <c r="S13" s="162">
        <v>492503</v>
      </c>
      <c r="T13" s="162">
        <v>506501</v>
      </c>
      <c r="U13" s="180">
        <f>IFERROR(T13/S13-1,"-")</f>
        <v>2.842216189546054E-2</v>
      </c>
      <c r="V13" s="161">
        <f t="shared" si="5"/>
        <v>13998</v>
      </c>
      <c r="W13" s="163">
        <f t="shared" si="4"/>
        <v>0.92973152563777806</v>
      </c>
    </row>
    <row r="14" spans="1:23" s="58" customFormat="1" x14ac:dyDescent="0.25">
      <c r="B14" s="165" t="s">
        <v>113</v>
      </c>
      <c r="C14" s="166">
        <v>119622</v>
      </c>
      <c r="D14" s="166">
        <v>109865</v>
      </c>
      <c r="E14" s="166">
        <v>404357</v>
      </c>
      <c r="F14" s="166">
        <v>479584</v>
      </c>
      <c r="G14" s="166">
        <v>543447</v>
      </c>
      <c r="H14" s="166">
        <v>566136</v>
      </c>
      <c r="I14" s="181">
        <f t="shared" ref="I14:I21" si="6">IFERROR(H14/G14-1,"-")</f>
        <v>4.1750161469287672E-2</v>
      </c>
      <c r="J14" s="165">
        <f t="shared" si="1"/>
        <v>22689</v>
      </c>
      <c r="K14" s="167">
        <f t="shared" si="2"/>
        <v>0.45203402375722501</v>
      </c>
      <c r="N14" s="165" t="s">
        <v>113</v>
      </c>
      <c r="O14" s="166">
        <v>54606</v>
      </c>
      <c r="P14" s="166">
        <v>61816</v>
      </c>
      <c r="Q14" s="166">
        <v>237602</v>
      </c>
      <c r="R14" s="166">
        <v>260390</v>
      </c>
      <c r="S14" s="166">
        <v>270591</v>
      </c>
      <c r="T14" s="166">
        <v>278872</v>
      </c>
      <c r="U14" s="181">
        <f t="shared" ref="U14:U21" si="7">IFERROR(T14/S14-1,"-")</f>
        <v>3.0603382965434855E-2</v>
      </c>
      <c r="V14" s="165">
        <f t="shared" si="5"/>
        <v>8281</v>
      </c>
      <c r="W14" s="167">
        <f t="shared" si="4"/>
        <v>0.51189650171995404</v>
      </c>
    </row>
    <row r="15" spans="1:23" x14ac:dyDescent="0.25">
      <c r="A15" s="1"/>
      <c r="B15" s="165" t="s">
        <v>116</v>
      </c>
      <c r="C15" s="166">
        <v>21535</v>
      </c>
      <c r="D15" s="166">
        <v>27950</v>
      </c>
      <c r="E15" s="166">
        <v>46682</v>
      </c>
      <c r="F15" s="166">
        <v>49791</v>
      </c>
      <c r="G15" s="166">
        <v>56166</v>
      </c>
      <c r="H15" s="166">
        <v>58306</v>
      </c>
      <c r="I15" s="181">
        <f t="shared" si="6"/>
        <v>3.8101342449168518E-2</v>
      </c>
      <c r="J15" s="165">
        <f t="shared" si="1"/>
        <v>2140</v>
      </c>
      <c r="K15" s="167">
        <f t="shared" si="2"/>
        <v>4.6554707330374256E-2</v>
      </c>
      <c r="N15" s="165" t="s">
        <v>116</v>
      </c>
      <c r="O15" s="166">
        <v>4782</v>
      </c>
      <c r="P15" s="166">
        <v>8350</v>
      </c>
      <c r="Q15" s="166">
        <v>11278</v>
      </c>
      <c r="R15" s="166">
        <v>11705</v>
      </c>
      <c r="S15" s="166">
        <v>13041</v>
      </c>
      <c r="T15" s="166">
        <v>15732</v>
      </c>
      <c r="U15" s="181">
        <f t="shared" si="7"/>
        <v>0.20634920634920628</v>
      </c>
      <c r="V15" s="165">
        <f t="shared" si="5"/>
        <v>2691</v>
      </c>
      <c r="W15" s="167">
        <f t="shared" si="4"/>
        <v>2.8877606088306883E-2</v>
      </c>
    </row>
    <row r="16" spans="1:23" x14ac:dyDescent="0.25">
      <c r="A16" s="1"/>
      <c r="B16" s="165" t="s">
        <v>119</v>
      </c>
      <c r="C16" s="166">
        <v>9967</v>
      </c>
      <c r="D16" s="166">
        <v>22868</v>
      </c>
      <c r="E16" s="166">
        <v>30850</v>
      </c>
      <c r="F16" s="166">
        <v>39519</v>
      </c>
      <c r="G16" s="166">
        <v>37857</v>
      </c>
      <c r="H16" s="166">
        <v>38932</v>
      </c>
      <c r="I16" s="181">
        <f t="shared" si="6"/>
        <v>2.8396333571070187E-2</v>
      </c>
      <c r="J16" s="165">
        <f t="shared" si="1"/>
        <v>1075</v>
      </c>
      <c r="K16" s="167">
        <f t="shared" si="2"/>
        <v>3.1085443449835878E-2</v>
      </c>
      <c r="N16" s="165" t="s">
        <v>119</v>
      </c>
      <c r="O16" s="166">
        <v>3603</v>
      </c>
      <c r="P16" s="166">
        <v>9886</v>
      </c>
      <c r="Q16" s="166">
        <v>9561</v>
      </c>
      <c r="R16" s="166">
        <v>9147</v>
      </c>
      <c r="S16" s="166">
        <v>9486</v>
      </c>
      <c r="T16" s="166">
        <v>10229</v>
      </c>
      <c r="U16" s="181">
        <f t="shared" si="7"/>
        <v>7.8325954037528955E-2</v>
      </c>
      <c r="V16" s="165">
        <f t="shared" si="5"/>
        <v>743</v>
      </c>
      <c r="W16" s="167">
        <f t="shared" si="4"/>
        <v>1.8776317866596181E-2</v>
      </c>
    </row>
    <row r="17" spans="1:23" x14ac:dyDescent="0.25">
      <c r="A17" s="1"/>
      <c r="B17" s="165" t="s">
        <v>126</v>
      </c>
      <c r="C17" s="166">
        <v>12010</v>
      </c>
      <c r="D17" s="166">
        <v>26187</v>
      </c>
      <c r="E17" s="166">
        <v>46132</v>
      </c>
      <c r="F17" s="166">
        <v>47391</v>
      </c>
      <c r="G17" s="166">
        <v>47125</v>
      </c>
      <c r="H17" s="166">
        <v>43680</v>
      </c>
      <c r="I17" s="181">
        <f t="shared" si="6"/>
        <v>-7.3103448275862015E-2</v>
      </c>
      <c r="J17" s="165">
        <f t="shared" si="1"/>
        <v>-3445</v>
      </c>
      <c r="K17" s="167">
        <f t="shared" si="2"/>
        <v>3.487650698368517E-2</v>
      </c>
      <c r="N17" s="165" t="s">
        <v>126</v>
      </c>
      <c r="O17" s="166">
        <v>6908</v>
      </c>
      <c r="P17" s="166">
        <v>15677</v>
      </c>
      <c r="Q17" s="166">
        <v>26421</v>
      </c>
      <c r="R17" s="166">
        <v>25836</v>
      </c>
      <c r="S17" s="166">
        <v>25720</v>
      </c>
      <c r="T17" s="166">
        <v>24835</v>
      </c>
      <c r="U17" s="181">
        <f t="shared" si="7"/>
        <v>-3.4409020217729402E-2</v>
      </c>
      <c r="V17" s="165">
        <f t="shared" si="5"/>
        <v>-885</v>
      </c>
      <c r="W17" s="167">
        <f t="shared" si="4"/>
        <v>4.5587042156312069E-2</v>
      </c>
    </row>
    <row r="18" spans="1:23" x14ac:dyDescent="0.25">
      <c r="A18" s="1"/>
      <c r="B18" s="165" t="s">
        <v>122</v>
      </c>
      <c r="C18" s="166">
        <v>6844</v>
      </c>
      <c r="D18" s="166">
        <v>9612</v>
      </c>
      <c r="E18" s="166">
        <v>15625</v>
      </c>
      <c r="F18" s="166">
        <v>16855</v>
      </c>
      <c r="G18" s="166">
        <v>17192</v>
      </c>
      <c r="H18" s="166">
        <v>15912</v>
      </c>
      <c r="I18" s="181">
        <f t="shared" si="6"/>
        <v>-7.4453234062354601E-2</v>
      </c>
      <c r="J18" s="165">
        <f t="shared" si="1"/>
        <v>-1280</v>
      </c>
      <c r="K18" s="167">
        <f t="shared" si="2"/>
        <v>1.2705013258342456E-2</v>
      </c>
      <c r="N18" s="165" t="s">
        <v>122</v>
      </c>
      <c r="O18" s="166">
        <v>3124</v>
      </c>
      <c r="P18" s="166">
        <v>5117</v>
      </c>
      <c r="Q18" s="166">
        <v>7989</v>
      </c>
      <c r="R18" s="166">
        <v>8687</v>
      </c>
      <c r="S18" s="166">
        <v>9133</v>
      </c>
      <c r="T18" s="166">
        <v>8627</v>
      </c>
      <c r="U18" s="181">
        <f t="shared" si="7"/>
        <v>-5.5403481878900651E-2</v>
      </c>
      <c r="V18" s="165">
        <f t="shared" si="5"/>
        <v>-506</v>
      </c>
      <c r="W18" s="167">
        <f t="shared" si="4"/>
        <v>1.5835692074995137E-2</v>
      </c>
    </row>
    <row r="19" spans="1:23" x14ac:dyDescent="0.25">
      <c r="A19" s="164" t="s">
        <v>147</v>
      </c>
      <c r="B19" s="165" t="s">
        <v>131</v>
      </c>
      <c r="C19" s="166">
        <v>10486</v>
      </c>
      <c r="D19" s="166">
        <v>10429</v>
      </c>
      <c r="E19" s="166">
        <v>21405</v>
      </c>
      <c r="F19" s="166">
        <v>23509</v>
      </c>
      <c r="G19" s="166">
        <v>22160</v>
      </c>
      <c r="H19" s="166">
        <v>22548</v>
      </c>
      <c r="I19" s="181">
        <f t="shared" si="6"/>
        <v>1.750902527075815E-2</v>
      </c>
      <c r="J19" s="165">
        <f t="shared" si="1"/>
        <v>388</v>
      </c>
      <c r="K19" s="167">
        <f t="shared" si="2"/>
        <v>1.8003559511633089E-2</v>
      </c>
      <c r="N19" s="165" t="s">
        <v>131</v>
      </c>
      <c r="O19" s="166">
        <v>6325</v>
      </c>
      <c r="P19" s="166">
        <v>7145</v>
      </c>
      <c r="Q19" s="166">
        <v>13634</v>
      </c>
      <c r="R19" s="166">
        <v>14285</v>
      </c>
      <c r="S19" s="166">
        <v>13586</v>
      </c>
      <c r="T19" s="166">
        <v>12502</v>
      </c>
      <c r="U19" s="181">
        <f t="shared" si="7"/>
        <v>-7.9788017076402151E-2</v>
      </c>
      <c r="V19" s="165">
        <f t="shared" si="5"/>
        <v>-1084</v>
      </c>
      <c r="W19" s="167">
        <f t="shared" si="4"/>
        <v>2.2948628992881557E-2</v>
      </c>
    </row>
    <row r="20" spans="1:23" x14ac:dyDescent="0.25">
      <c r="A20" s="169" t="s">
        <v>148</v>
      </c>
      <c r="B20" s="165" t="s">
        <v>134</v>
      </c>
      <c r="C20" s="166">
        <v>17132</v>
      </c>
      <c r="D20" s="166">
        <v>9663</v>
      </c>
      <c r="E20" s="166">
        <v>21478</v>
      </c>
      <c r="F20" s="166">
        <v>26254</v>
      </c>
      <c r="G20" s="166">
        <v>27980</v>
      </c>
      <c r="H20" s="166">
        <v>22725</v>
      </c>
      <c r="I20" s="181">
        <f t="shared" si="6"/>
        <v>-0.18781272337383847</v>
      </c>
      <c r="J20" s="165">
        <f t="shared" si="1"/>
        <v>-5255</v>
      </c>
      <c r="K20" s="167">
        <f t="shared" si="2"/>
        <v>1.8144886016580711E-2</v>
      </c>
      <c r="N20" s="165" t="s">
        <v>134</v>
      </c>
      <c r="O20" s="166">
        <v>11509</v>
      </c>
      <c r="P20" s="166">
        <v>6692</v>
      </c>
      <c r="Q20" s="166">
        <v>14445</v>
      </c>
      <c r="R20" s="166">
        <v>16113</v>
      </c>
      <c r="S20" s="166">
        <v>16304</v>
      </c>
      <c r="T20" s="166">
        <v>12489</v>
      </c>
      <c r="U20" s="181">
        <f t="shared" si="7"/>
        <v>-0.23399165848871439</v>
      </c>
      <c r="V20" s="165">
        <f t="shared" si="5"/>
        <v>-3815</v>
      </c>
      <c r="W20" s="167">
        <f t="shared" si="4"/>
        <v>2.2924766236769936E-2</v>
      </c>
    </row>
    <row r="21" spans="1:23" x14ac:dyDescent="0.25">
      <c r="B21" s="170" t="s">
        <v>148</v>
      </c>
      <c r="C21" s="171">
        <f t="shared" ref="C21" si="8">C13-SUM(C14:C20)</f>
        <v>86584</v>
      </c>
      <c r="D21" s="171">
        <f t="shared" ref="D21:H21" si="9">D13-SUM(D14:D20)</f>
        <v>129798</v>
      </c>
      <c r="E21" s="171">
        <f t="shared" si="9"/>
        <v>239570</v>
      </c>
      <c r="F21" s="171">
        <f t="shared" si="9"/>
        <v>257372</v>
      </c>
      <c r="G21" s="171">
        <f t="shared" si="9"/>
        <v>278968</v>
      </c>
      <c r="H21" s="171">
        <f t="shared" si="9"/>
        <v>297707</v>
      </c>
      <c r="I21" s="182">
        <f t="shared" si="6"/>
        <v>6.7172578933784477E-2</v>
      </c>
      <c r="J21" s="170">
        <f t="shared" si="1"/>
        <v>18739</v>
      </c>
      <c r="K21" s="172">
        <f t="shared" si="2"/>
        <v>0.23770559213809436</v>
      </c>
      <c r="N21" s="170" t="s">
        <v>148</v>
      </c>
      <c r="O21" s="171">
        <f t="shared" ref="O21:T21" si="10">O13-SUM(O14:O20)</f>
        <v>42547</v>
      </c>
      <c r="P21" s="171">
        <f t="shared" si="10"/>
        <v>77192</v>
      </c>
      <c r="Q21" s="171">
        <f t="shared" si="10"/>
        <v>129185</v>
      </c>
      <c r="R21" s="171">
        <f t="shared" si="10"/>
        <v>125477</v>
      </c>
      <c r="S21" s="171">
        <f t="shared" si="10"/>
        <v>134642</v>
      </c>
      <c r="T21" s="171">
        <f t="shared" si="10"/>
        <v>143215</v>
      </c>
      <c r="U21" s="182">
        <f t="shared" si="7"/>
        <v>6.3672553883632244E-2</v>
      </c>
      <c r="V21" s="170">
        <f>T21-S21</f>
        <v>8573</v>
      </c>
      <c r="W21" s="172">
        <f t="shared" si="4"/>
        <v>0.26288497050196225</v>
      </c>
    </row>
    <row r="22" spans="1:23" x14ac:dyDescent="0.25">
      <c r="B22" s="157" t="s">
        <v>47</v>
      </c>
      <c r="C22" s="155"/>
      <c r="D22" s="155"/>
      <c r="E22" s="155"/>
      <c r="F22" s="155"/>
      <c r="G22" s="155"/>
      <c r="H22" s="155"/>
      <c r="I22" s="156"/>
      <c r="J22" s="156"/>
      <c r="K22" s="155"/>
    </row>
    <row r="23" spans="1:23" x14ac:dyDescent="0.25">
      <c r="B23" s="158" t="s">
        <v>71</v>
      </c>
      <c r="C23" s="178">
        <f t="shared" ref="C23:H23" si="11">C24+C27</f>
        <v>99694</v>
      </c>
      <c r="D23" s="178">
        <f t="shared" si="11"/>
        <v>128277</v>
      </c>
      <c r="E23" s="178">
        <f t="shared" si="11"/>
        <v>266420</v>
      </c>
      <c r="F23" s="178">
        <f t="shared" si="11"/>
        <v>345229</v>
      </c>
      <c r="G23" s="178">
        <f t="shared" si="11"/>
        <v>365009</v>
      </c>
      <c r="H23" s="178">
        <f t="shared" si="11"/>
        <v>379792</v>
      </c>
      <c r="I23" s="179">
        <f>IFERROR(H23/G23-1,"-")</f>
        <v>4.0500371223723297E-2</v>
      </c>
      <c r="J23" s="178">
        <f>H23-G23</f>
        <v>14783</v>
      </c>
      <c r="K23" s="179">
        <f t="shared" ref="K23:K35" si="12">H23/H$9</f>
        <v>0.30324675687609337</v>
      </c>
    </row>
    <row r="24" spans="1:23" x14ac:dyDescent="0.25">
      <c r="B24" s="161" t="s">
        <v>100</v>
      </c>
      <c r="C24" s="162">
        <v>19862</v>
      </c>
      <c r="D24" s="162">
        <v>40357</v>
      </c>
      <c r="E24" s="162">
        <v>33147</v>
      </c>
      <c r="F24" s="162">
        <v>38670</v>
      </c>
      <c r="G24" s="162">
        <v>33455</v>
      </c>
      <c r="H24" s="162">
        <v>36343</v>
      </c>
      <c r="I24" s="180">
        <f>IFERROR(H24/G24-1,"-")</f>
        <v>8.6324914063667713E-2</v>
      </c>
      <c r="J24" s="161">
        <f t="shared" ref="J24:J34" si="13">H24-G24</f>
        <v>2888</v>
      </c>
      <c r="K24" s="163">
        <f t="shared" si="12"/>
        <v>2.9018243894415527E-2</v>
      </c>
    </row>
    <row r="25" spans="1:23" x14ac:dyDescent="0.25">
      <c r="B25" s="165" t="s">
        <v>12</v>
      </c>
      <c r="C25" s="166">
        <v>17089</v>
      </c>
      <c r="D25" s="166">
        <v>29439</v>
      </c>
      <c r="E25" s="166">
        <v>18342</v>
      </c>
      <c r="F25" s="166">
        <v>20442</v>
      </c>
      <c r="G25" s="166">
        <v>16667</v>
      </c>
      <c r="H25" s="166">
        <v>17378</v>
      </c>
      <c r="I25" s="181">
        <f>IFERROR(H25/G25-1,"-")</f>
        <v>4.265914681706362E-2</v>
      </c>
      <c r="J25" s="165">
        <f t="shared" si="13"/>
        <v>711</v>
      </c>
      <c r="K25" s="167">
        <f t="shared" si="12"/>
        <v>1.3875548039434088E-2</v>
      </c>
    </row>
    <row r="26" spans="1:23" x14ac:dyDescent="0.25">
      <c r="B26" s="165" t="s">
        <v>103</v>
      </c>
      <c r="C26" s="166">
        <v>2773</v>
      </c>
      <c r="D26" s="166">
        <v>10918</v>
      </c>
      <c r="E26" s="166">
        <v>14805</v>
      </c>
      <c r="F26" s="166">
        <v>18228</v>
      </c>
      <c r="G26" s="166">
        <v>16788</v>
      </c>
      <c r="H26" s="166">
        <v>18965</v>
      </c>
      <c r="I26" s="181">
        <f>IFERROR(H26/G26-1,"-")</f>
        <v>0.1296759590183465</v>
      </c>
      <c r="J26" s="165">
        <f t="shared" si="13"/>
        <v>2177</v>
      </c>
      <c r="K26" s="167">
        <f t="shared" si="12"/>
        <v>1.5142695854981439E-2</v>
      </c>
    </row>
    <row r="27" spans="1:23" x14ac:dyDescent="0.25">
      <c r="B27" s="161" t="s">
        <v>110</v>
      </c>
      <c r="C27" s="162">
        <v>79832</v>
      </c>
      <c r="D27" s="162">
        <v>87920</v>
      </c>
      <c r="E27" s="162">
        <v>233273</v>
      </c>
      <c r="F27" s="162">
        <v>306559</v>
      </c>
      <c r="G27" s="162">
        <v>331554</v>
      </c>
      <c r="H27" s="162">
        <v>343449</v>
      </c>
      <c r="I27" s="180">
        <f>IFERROR(H27/G27-1,"-")</f>
        <v>3.5876508803995621E-2</v>
      </c>
      <c r="J27" s="161">
        <f t="shared" si="13"/>
        <v>11895</v>
      </c>
      <c r="K27" s="163">
        <f t="shared" si="12"/>
        <v>0.27422851298167783</v>
      </c>
    </row>
    <row r="28" spans="1:23" x14ac:dyDescent="0.25">
      <c r="B28" s="165" t="s">
        <v>113</v>
      </c>
      <c r="C28" s="166">
        <v>42121</v>
      </c>
      <c r="D28" s="166">
        <v>32998</v>
      </c>
      <c r="E28" s="166">
        <v>126472</v>
      </c>
      <c r="F28" s="166">
        <v>173760</v>
      </c>
      <c r="G28" s="166">
        <v>196977</v>
      </c>
      <c r="H28" s="166">
        <v>209573</v>
      </c>
      <c r="I28" s="181">
        <f t="shared" ref="I28:I35" si="14">IFERROR(H28/G28-1,"-")</f>
        <v>6.3946552135528467E-2</v>
      </c>
      <c r="J28" s="165">
        <f t="shared" si="13"/>
        <v>12596</v>
      </c>
      <c r="K28" s="167">
        <f t="shared" si="12"/>
        <v>0.16733457413213948</v>
      </c>
    </row>
    <row r="29" spans="1:23" x14ac:dyDescent="0.25">
      <c r="B29" s="165" t="s">
        <v>116</v>
      </c>
      <c r="C29" s="166">
        <v>6914</v>
      </c>
      <c r="D29" s="166">
        <v>8434</v>
      </c>
      <c r="E29" s="166">
        <v>13406</v>
      </c>
      <c r="F29" s="166">
        <v>14983</v>
      </c>
      <c r="G29" s="166">
        <v>16601</v>
      </c>
      <c r="H29" s="166">
        <v>15349</v>
      </c>
      <c r="I29" s="181">
        <f t="shared" si="14"/>
        <v>-7.5417143545569498E-2</v>
      </c>
      <c r="J29" s="165">
        <f t="shared" si="13"/>
        <v>-1252</v>
      </c>
      <c r="K29" s="167">
        <f t="shared" si="12"/>
        <v>1.2255483188932777E-2</v>
      </c>
    </row>
    <row r="30" spans="1:23" x14ac:dyDescent="0.25">
      <c r="B30" s="165" t="s">
        <v>119</v>
      </c>
      <c r="C30" s="166">
        <v>3247</v>
      </c>
      <c r="D30" s="166">
        <v>6660</v>
      </c>
      <c r="E30" s="166">
        <v>10816</v>
      </c>
      <c r="F30" s="166">
        <v>18863</v>
      </c>
      <c r="G30" s="166">
        <v>15807</v>
      </c>
      <c r="H30" s="166">
        <v>11765</v>
      </c>
      <c r="I30" s="181">
        <f t="shared" si="14"/>
        <v>-0.25570949579300306</v>
      </c>
      <c r="J30" s="165">
        <f t="shared" si="13"/>
        <v>-4042</v>
      </c>
      <c r="K30" s="167">
        <f t="shared" si="12"/>
        <v>9.3938210774509173E-3</v>
      </c>
    </row>
    <row r="31" spans="1:23" x14ac:dyDescent="0.25">
      <c r="B31" s="165" t="s">
        <v>126</v>
      </c>
      <c r="C31" s="166">
        <v>2765</v>
      </c>
      <c r="D31" s="166">
        <v>5497</v>
      </c>
      <c r="E31" s="166">
        <v>11506</v>
      </c>
      <c r="F31" s="166">
        <v>13404</v>
      </c>
      <c r="G31" s="166">
        <v>10547</v>
      </c>
      <c r="H31" s="166">
        <v>9742</v>
      </c>
      <c r="I31" s="181">
        <f t="shared" si="14"/>
        <v>-7.6325021333080501E-2</v>
      </c>
      <c r="J31" s="165">
        <f t="shared" si="13"/>
        <v>-805</v>
      </c>
      <c r="K31" s="167">
        <f t="shared" si="12"/>
        <v>7.778546955930883E-3</v>
      </c>
    </row>
    <row r="32" spans="1:23" x14ac:dyDescent="0.25">
      <c r="B32" s="165" t="s">
        <v>122</v>
      </c>
      <c r="C32" s="166">
        <v>2258</v>
      </c>
      <c r="D32" s="166">
        <v>3247</v>
      </c>
      <c r="E32" s="166">
        <v>5114</v>
      </c>
      <c r="F32" s="166">
        <v>5613</v>
      </c>
      <c r="G32" s="166">
        <v>5322</v>
      </c>
      <c r="H32" s="166">
        <v>4699</v>
      </c>
      <c r="I32" s="181">
        <f t="shared" si="14"/>
        <v>-0.11706125516723032</v>
      </c>
      <c r="J32" s="165">
        <f t="shared" si="13"/>
        <v>-623</v>
      </c>
      <c r="K32" s="167">
        <f t="shared" si="12"/>
        <v>3.7519392471688788E-3</v>
      </c>
    </row>
    <row r="33" spans="2:11" x14ac:dyDescent="0.25">
      <c r="B33" s="165" t="s">
        <v>131</v>
      </c>
      <c r="C33" s="166">
        <v>2014</v>
      </c>
      <c r="D33" s="166">
        <v>1316</v>
      </c>
      <c r="E33" s="166">
        <v>2799</v>
      </c>
      <c r="F33" s="166">
        <v>3613</v>
      </c>
      <c r="G33" s="166">
        <v>3310</v>
      </c>
      <c r="H33" s="166">
        <v>3961</v>
      </c>
      <c r="I33" s="181">
        <f t="shared" si="14"/>
        <v>0.1966767371601208</v>
      </c>
      <c r="J33" s="165">
        <f t="shared" si="13"/>
        <v>651</v>
      </c>
      <c r="K33" s="167">
        <f t="shared" si="12"/>
        <v>3.1626795824720002E-3</v>
      </c>
    </row>
    <row r="34" spans="2:11" x14ac:dyDescent="0.25">
      <c r="B34" s="165" t="s">
        <v>134</v>
      </c>
      <c r="C34" s="166">
        <v>1805</v>
      </c>
      <c r="D34" s="166">
        <v>1059</v>
      </c>
      <c r="E34" s="166">
        <v>2429</v>
      </c>
      <c r="F34" s="166">
        <v>3635</v>
      </c>
      <c r="G34" s="166">
        <v>3275</v>
      </c>
      <c r="H34" s="166">
        <v>3092</v>
      </c>
      <c r="I34" s="181">
        <f t="shared" si="14"/>
        <v>-5.5877862595419825E-2</v>
      </c>
      <c r="J34" s="165">
        <f t="shared" si="13"/>
        <v>-183</v>
      </c>
      <c r="K34" s="167">
        <f t="shared" si="12"/>
        <v>2.4688223350172746E-3</v>
      </c>
    </row>
    <row r="35" spans="2:11" x14ac:dyDescent="0.25">
      <c r="B35" s="170" t="s">
        <v>148</v>
      </c>
      <c r="C35" s="171">
        <f t="shared" ref="C35" si="15">C27-SUM(C28:C34)</f>
        <v>18708</v>
      </c>
      <c r="D35" s="171">
        <f t="shared" ref="D35:H35" si="16">D27-SUM(D28:D34)</f>
        <v>28709</v>
      </c>
      <c r="E35" s="171">
        <f t="shared" si="16"/>
        <v>60731</v>
      </c>
      <c r="F35" s="171">
        <f t="shared" si="16"/>
        <v>72688</v>
      </c>
      <c r="G35" s="171">
        <f t="shared" si="16"/>
        <v>79715</v>
      </c>
      <c r="H35" s="171">
        <f t="shared" si="16"/>
        <v>85268</v>
      </c>
      <c r="I35" s="182">
        <f t="shared" si="14"/>
        <v>6.9660666123063431E-2</v>
      </c>
      <c r="J35" s="170">
        <f>H35-G35</f>
        <v>5553</v>
      </c>
      <c r="K35" s="172">
        <f t="shared" si="12"/>
        <v>6.8082646462565649E-2</v>
      </c>
    </row>
    <row r="36" spans="2:11" x14ac:dyDescent="0.25">
      <c r="B36" s="157" t="s">
        <v>48</v>
      </c>
      <c r="C36" s="155"/>
      <c r="D36" s="155"/>
      <c r="E36" s="155"/>
      <c r="F36" s="155"/>
      <c r="G36" s="155"/>
      <c r="H36" s="155"/>
      <c r="I36" s="156"/>
      <c r="J36" s="156"/>
      <c r="K36" s="155"/>
    </row>
    <row r="37" spans="2:11" x14ac:dyDescent="0.25">
      <c r="B37" s="158" t="s">
        <v>71</v>
      </c>
      <c r="C37" s="178">
        <f t="shared" ref="C37:H37" si="17">C38+C41</f>
        <v>158323</v>
      </c>
      <c r="D37" s="178">
        <f t="shared" si="17"/>
        <v>235509</v>
      </c>
      <c r="E37" s="178">
        <f t="shared" si="17"/>
        <v>490978</v>
      </c>
      <c r="F37" s="178">
        <f t="shared" si="17"/>
        <v>509465</v>
      </c>
      <c r="G37" s="178">
        <f t="shared" si="17"/>
        <v>526356</v>
      </c>
      <c r="H37" s="178">
        <f t="shared" si="17"/>
        <v>544782</v>
      </c>
      <c r="I37" s="179">
        <f>IFERROR(H37/G37-1,"-")</f>
        <v>3.5006725486172785E-2</v>
      </c>
      <c r="J37" s="178">
        <f>H37-G37</f>
        <v>18426</v>
      </c>
      <c r="K37" s="179">
        <f t="shared" ref="K37:K49" si="18">H37/H$9</f>
        <v>0.43498381931286573</v>
      </c>
    </row>
    <row r="38" spans="2:11" x14ac:dyDescent="0.25">
      <c r="B38" s="161" t="s">
        <v>100</v>
      </c>
      <c r="C38" s="162">
        <v>24919</v>
      </c>
      <c r="D38" s="162">
        <v>43634</v>
      </c>
      <c r="E38" s="162">
        <v>40863</v>
      </c>
      <c r="F38" s="162">
        <v>37825</v>
      </c>
      <c r="G38" s="162">
        <v>33853</v>
      </c>
      <c r="H38" s="162">
        <v>38281</v>
      </c>
      <c r="I38" s="180">
        <f>IFERROR(H38/G38-1,"-")</f>
        <v>0.1308008152896345</v>
      </c>
      <c r="J38" s="161">
        <f t="shared" ref="J38:J48" si="19">H38-G38</f>
        <v>4428</v>
      </c>
      <c r="K38" s="163">
        <f t="shared" si="18"/>
        <v>3.0565649355367493E-2</v>
      </c>
    </row>
    <row r="39" spans="2:11" x14ac:dyDescent="0.25">
      <c r="B39" s="165" t="s">
        <v>106</v>
      </c>
      <c r="C39" s="166">
        <v>19672</v>
      </c>
      <c r="D39" s="166">
        <v>34405</v>
      </c>
      <c r="E39" s="166">
        <v>29416</v>
      </c>
      <c r="F39" s="166">
        <v>22977</v>
      </c>
      <c r="G39" s="166">
        <v>18844</v>
      </c>
      <c r="H39" s="166">
        <v>21569</v>
      </c>
      <c r="I39" s="181">
        <f>IFERROR(H39/G39-1,"-")</f>
        <v>0.14460836340479721</v>
      </c>
      <c r="J39" s="165">
        <f t="shared" si="19"/>
        <v>2725</v>
      </c>
      <c r="K39" s="167">
        <f t="shared" si="18"/>
        <v>1.7221872232854978E-2</v>
      </c>
    </row>
    <row r="40" spans="2:11" x14ac:dyDescent="0.25">
      <c r="B40" s="165" t="s">
        <v>103</v>
      </c>
      <c r="C40" s="166">
        <v>5247</v>
      </c>
      <c r="D40" s="166">
        <v>9229</v>
      </c>
      <c r="E40" s="166">
        <v>11447</v>
      </c>
      <c r="F40" s="166">
        <v>14848</v>
      </c>
      <c r="G40" s="166">
        <v>15009</v>
      </c>
      <c r="H40" s="166">
        <v>16712</v>
      </c>
      <c r="I40" s="181">
        <f>IFERROR(H40/G40-1,"-")</f>
        <v>0.11346525418082476</v>
      </c>
      <c r="J40" s="165">
        <f t="shared" si="19"/>
        <v>1703</v>
      </c>
      <c r="K40" s="167">
        <f t="shared" si="18"/>
        <v>1.3343777122512513E-2</v>
      </c>
    </row>
    <row r="41" spans="2:11" x14ac:dyDescent="0.25">
      <c r="B41" s="161" t="s">
        <v>110</v>
      </c>
      <c r="C41" s="162">
        <v>133404</v>
      </c>
      <c r="D41" s="162">
        <v>191875</v>
      </c>
      <c r="E41" s="162">
        <v>450115</v>
      </c>
      <c r="F41" s="162">
        <v>471640</v>
      </c>
      <c r="G41" s="162">
        <v>492503</v>
      </c>
      <c r="H41" s="162">
        <v>506501</v>
      </c>
      <c r="I41" s="180">
        <f>IFERROR(H41/G41-1,"-")</f>
        <v>2.842216189546054E-2</v>
      </c>
      <c r="J41" s="161">
        <f t="shared" si="19"/>
        <v>13998</v>
      </c>
      <c r="K41" s="163">
        <f t="shared" si="18"/>
        <v>0.40441816995749824</v>
      </c>
    </row>
    <row r="42" spans="2:11" x14ac:dyDescent="0.25">
      <c r="B42" s="165" t="s">
        <v>113</v>
      </c>
      <c r="C42" s="166">
        <v>54606</v>
      </c>
      <c r="D42" s="166">
        <v>61816</v>
      </c>
      <c r="E42" s="166">
        <v>237602</v>
      </c>
      <c r="F42" s="166">
        <v>260390</v>
      </c>
      <c r="G42" s="166">
        <v>270591</v>
      </c>
      <c r="H42" s="166">
        <v>278872</v>
      </c>
      <c r="I42" s="181">
        <f t="shared" ref="I42:I49" si="20">IFERROR(H42/G42-1,"-")</f>
        <v>3.0603382965434855E-2</v>
      </c>
      <c r="J42" s="165">
        <f t="shared" si="19"/>
        <v>8281</v>
      </c>
      <c r="K42" s="167">
        <f t="shared" si="18"/>
        <v>0.22266669541104056</v>
      </c>
    </row>
    <row r="43" spans="2:11" x14ac:dyDescent="0.25">
      <c r="B43" s="165" t="s">
        <v>116</v>
      </c>
      <c r="C43" s="166">
        <v>4782</v>
      </c>
      <c r="D43" s="166">
        <v>8350</v>
      </c>
      <c r="E43" s="166">
        <v>11278</v>
      </c>
      <c r="F43" s="166">
        <v>11705</v>
      </c>
      <c r="G43" s="166">
        <v>13041</v>
      </c>
      <c r="H43" s="166">
        <v>15732</v>
      </c>
      <c r="I43" s="181">
        <f t="shared" si="20"/>
        <v>0.20634920634920628</v>
      </c>
      <c r="J43" s="165">
        <f t="shared" si="19"/>
        <v>2691</v>
      </c>
      <c r="K43" s="167">
        <f t="shared" si="18"/>
        <v>1.2561291388904192E-2</v>
      </c>
    </row>
    <row r="44" spans="2:11" x14ac:dyDescent="0.25">
      <c r="B44" s="165" t="s">
        <v>119</v>
      </c>
      <c r="C44" s="166">
        <v>3603</v>
      </c>
      <c r="D44" s="166">
        <v>9886</v>
      </c>
      <c r="E44" s="166">
        <v>9561</v>
      </c>
      <c r="F44" s="166">
        <v>9147</v>
      </c>
      <c r="G44" s="166">
        <v>9486</v>
      </c>
      <c r="H44" s="166">
        <v>10229</v>
      </c>
      <c r="I44" s="181">
        <f t="shared" si="20"/>
        <v>7.8325954037528955E-2</v>
      </c>
      <c r="J44" s="165">
        <f t="shared" si="19"/>
        <v>743</v>
      </c>
      <c r="K44" s="167">
        <f t="shared" si="18"/>
        <v>8.1673944582444057E-3</v>
      </c>
    </row>
    <row r="45" spans="2:11" x14ac:dyDescent="0.25">
      <c r="B45" s="165" t="s">
        <v>126</v>
      </c>
      <c r="C45" s="166">
        <v>6908</v>
      </c>
      <c r="D45" s="166">
        <v>15677</v>
      </c>
      <c r="E45" s="166">
        <v>26421</v>
      </c>
      <c r="F45" s="166">
        <v>25836</v>
      </c>
      <c r="G45" s="166">
        <v>25720</v>
      </c>
      <c r="H45" s="166">
        <v>24835</v>
      </c>
      <c r="I45" s="181">
        <f t="shared" si="20"/>
        <v>-3.4409020217729402E-2</v>
      </c>
      <c r="J45" s="165">
        <f t="shared" si="19"/>
        <v>-885</v>
      </c>
      <c r="K45" s="167">
        <f t="shared" si="18"/>
        <v>1.9829625708329243E-2</v>
      </c>
    </row>
    <row r="46" spans="2:11" x14ac:dyDescent="0.25">
      <c r="B46" s="165" t="s">
        <v>122</v>
      </c>
      <c r="C46" s="166">
        <v>3124</v>
      </c>
      <c r="D46" s="166">
        <v>5117</v>
      </c>
      <c r="E46" s="166">
        <v>7989</v>
      </c>
      <c r="F46" s="166">
        <v>8687</v>
      </c>
      <c r="G46" s="166">
        <v>9133</v>
      </c>
      <c r="H46" s="166">
        <v>8627</v>
      </c>
      <c r="I46" s="181">
        <f t="shared" si="20"/>
        <v>-5.5403481878900651E-2</v>
      </c>
      <c r="J46" s="165">
        <f t="shared" si="19"/>
        <v>-506</v>
      </c>
      <c r="K46" s="167">
        <f t="shared" si="18"/>
        <v>6.888269820243864E-3</v>
      </c>
    </row>
    <row r="47" spans="2:11" x14ac:dyDescent="0.25">
      <c r="B47" s="165" t="s">
        <v>131</v>
      </c>
      <c r="C47" s="166">
        <v>6325</v>
      </c>
      <c r="D47" s="166">
        <v>7145</v>
      </c>
      <c r="E47" s="166">
        <v>13634</v>
      </c>
      <c r="F47" s="166">
        <v>14285</v>
      </c>
      <c r="G47" s="166">
        <v>13586</v>
      </c>
      <c r="H47" s="166">
        <v>12502</v>
      </c>
      <c r="I47" s="181">
        <f t="shared" si="20"/>
        <v>-7.9788017076402151E-2</v>
      </c>
      <c r="J47" s="165">
        <f t="shared" si="19"/>
        <v>-1084</v>
      </c>
      <c r="K47" s="167">
        <f t="shared" si="18"/>
        <v>9.9822822873175832E-3</v>
      </c>
    </row>
    <row r="48" spans="2:11" x14ac:dyDescent="0.25">
      <c r="B48" s="165" t="s">
        <v>134</v>
      </c>
      <c r="C48" s="166">
        <v>11509</v>
      </c>
      <c r="D48" s="166">
        <v>6692</v>
      </c>
      <c r="E48" s="166">
        <v>14445</v>
      </c>
      <c r="F48" s="166">
        <v>16113</v>
      </c>
      <c r="G48" s="166">
        <v>16304</v>
      </c>
      <c r="H48" s="166">
        <v>12489</v>
      </c>
      <c r="I48" s="181">
        <f t="shared" si="20"/>
        <v>-0.23399165848871439</v>
      </c>
      <c r="J48" s="165">
        <f t="shared" si="19"/>
        <v>-3815</v>
      </c>
      <c r="K48" s="167">
        <f t="shared" si="18"/>
        <v>9.9719023745248204E-3</v>
      </c>
    </row>
    <row r="49" spans="2:11" x14ac:dyDescent="0.25">
      <c r="B49" s="170" t="s">
        <v>148</v>
      </c>
      <c r="C49" s="171">
        <f t="shared" ref="C49" si="21">C41-SUM(C42:C48)</f>
        <v>42547</v>
      </c>
      <c r="D49" s="171">
        <f t="shared" ref="D49:H49" si="22">D41-SUM(D42:D48)</f>
        <v>77192</v>
      </c>
      <c r="E49" s="171">
        <f t="shared" si="22"/>
        <v>129185</v>
      </c>
      <c r="F49" s="171">
        <f t="shared" si="22"/>
        <v>125477</v>
      </c>
      <c r="G49" s="171">
        <f t="shared" si="22"/>
        <v>134642</v>
      </c>
      <c r="H49" s="171">
        <f t="shared" si="22"/>
        <v>143215</v>
      </c>
      <c r="I49" s="182">
        <f t="shared" si="20"/>
        <v>6.3672553883632244E-2</v>
      </c>
      <c r="J49" s="170">
        <f>H49-G49</f>
        <v>8573</v>
      </c>
      <c r="K49" s="172">
        <f t="shared" si="18"/>
        <v>0.11435070850889359</v>
      </c>
    </row>
    <row r="50" spans="2:11" x14ac:dyDescent="0.25">
      <c r="B50" s="157" t="s">
        <v>49</v>
      </c>
      <c r="C50" s="155"/>
      <c r="D50" s="155"/>
      <c r="E50" s="155"/>
      <c r="F50" s="155"/>
      <c r="G50" s="155"/>
      <c r="H50" s="155"/>
      <c r="I50" s="156"/>
      <c r="J50" s="156"/>
      <c r="K50" s="155"/>
    </row>
    <row r="51" spans="2:11" x14ac:dyDescent="0.25">
      <c r="B51" s="158" t="s">
        <v>71</v>
      </c>
      <c r="C51" s="178">
        <f t="shared" ref="C51:H51" si="23">IFERROR(C52+C55,"nd")</f>
        <v>1878</v>
      </c>
      <c r="D51" s="178">
        <f t="shared" si="23"/>
        <v>0</v>
      </c>
      <c r="E51" s="178">
        <f t="shared" si="23"/>
        <v>0</v>
      </c>
      <c r="F51" s="178">
        <f t="shared" si="23"/>
        <v>0</v>
      </c>
      <c r="G51" s="178">
        <f t="shared" si="23"/>
        <v>0</v>
      </c>
      <c r="H51" s="178">
        <f t="shared" si="23"/>
        <v>0</v>
      </c>
      <c r="I51" s="179" t="str">
        <f>IFERROR(H51/G51-1,"-")</f>
        <v>-</v>
      </c>
      <c r="J51" s="178">
        <f>H51-G51</f>
        <v>0</v>
      </c>
      <c r="K51" s="179">
        <f t="shared" ref="K51:K63" si="24">H51/H$9</f>
        <v>0</v>
      </c>
    </row>
    <row r="52" spans="2:11" x14ac:dyDescent="0.25">
      <c r="B52" s="161" t="s">
        <v>100</v>
      </c>
      <c r="C52" s="162">
        <v>350</v>
      </c>
      <c r="D52" s="162">
        <v>0</v>
      </c>
      <c r="E52" s="162">
        <v>0</v>
      </c>
      <c r="F52" s="162">
        <v>0</v>
      </c>
      <c r="G52" s="162">
        <v>0</v>
      </c>
      <c r="H52" s="162">
        <v>0</v>
      </c>
      <c r="I52" s="180" t="str">
        <f>IFERROR(H52/G52-1,"-")</f>
        <v>-</v>
      </c>
      <c r="J52" s="161">
        <f t="shared" ref="J52:J62" si="25">H52-G52</f>
        <v>0</v>
      </c>
      <c r="K52" s="163">
        <f t="shared" si="24"/>
        <v>0</v>
      </c>
    </row>
    <row r="53" spans="2:11" x14ac:dyDescent="0.25">
      <c r="B53" s="165" t="s">
        <v>106</v>
      </c>
      <c r="C53" s="166">
        <v>171</v>
      </c>
      <c r="D53" s="166">
        <v>0</v>
      </c>
      <c r="E53" s="166">
        <v>0</v>
      </c>
      <c r="F53" s="166">
        <v>0</v>
      </c>
      <c r="G53" s="166">
        <v>0</v>
      </c>
      <c r="H53" s="166">
        <v>0</v>
      </c>
      <c r="I53" s="181" t="str">
        <f>IFERROR(H53/G53-1,"-")</f>
        <v>-</v>
      </c>
      <c r="J53" s="165">
        <f t="shared" si="25"/>
        <v>0</v>
      </c>
      <c r="K53" s="167">
        <f t="shared" si="24"/>
        <v>0</v>
      </c>
    </row>
    <row r="54" spans="2:11" x14ac:dyDescent="0.25">
      <c r="B54" s="165" t="s">
        <v>103</v>
      </c>
      <c r="C54" s="166">
        <v>179</v>
      </c>
      <c r="D54" s="166">
        <v>0</v>
      </c>
      <c r="E54" s="166">
        <v>0</v>
      </c>
      <c r="F54" s="166">
        <v>0</v>
      </c>
      <c r="G54" s="166">
        <v>0</v>
      </c>
      <c r="H54" s="166">
        <v>0</v>
      </c>
      <c r="I54" s="181" t="str">
        <f>IFERROR(H54/G54-1,"-")</f>
        <v>-</v>
      </c>
      <c r="J54" s="165">
        <f t="shared" si="25"/>
        <v>0</v>
      </c>
      <c r="K54" s="167">
        <f t="shared" si="24"/>
        <v>0</v>
      </c>
    </row>
    <row r="55" spans="2:11" x14ac:dyDescent="0.25">
      <c r="B55" s="161" t="s">
        <v>110</v>
      </c>
      <c r="C55" s="162">
        <v>1528</v>
      </c>
      <c r="D55" s="162">
        <v>0</v>
      </c>
      <c r="E55" s="162">
        <v>0</v>
      </c>
      <c r="F55" s="162">
        <v>0</v>
      </c>
      <c r="G55" s="162">
        <v>0</v>
      </c>
      <c r="H55" s="162">
        <v>0</v>
      </c>
      <c r="I55" s="180" t="str">
        <f>IFERROR(H55/G55-1,"-")</f>
        <v>-</v>
      </c>
      <c r="J55" s="161">
        <f t="shared" si="25"/>
        <v>0</v>
      </c>
      <c r="K55" s="163">
        <f t="shared" si="24"/>
        <v>0</v>
      </c>
    </row>
    <row r="56" spans="2:11" x14ac:dyDescent="0.25">
      <c r="B56" s="165" t="s">
        <v>113</v>
      </c>
      <c r="C56" s="166">
        <v>596</v>
      </c>
      <c r="D56" s="166">
        <v>0</v>
      </c>
      <c r="E56" s="166">
        <v>0</v>
      </c>
      <c r="F56" s="166">
        <v>0</v>
      </c>
      <c r="G56" s="166">
        <v>0</v>
      </c>
      <c r="H56" s="166">
        <v>0</v>
      </c>
      <c r="I56" s="181" t="str">
        <f t="shared" ref="I56:I63" si="26">IFERROR(H56/G56-1,"-")</f>
        <v>-</v>
      </c>
      <c r="J56" s="165">
        <f t="shared" si="25"/>
        <v>0</v>
      </c>
      <c r="K56" s="167">
        <f t="shared" si="24"/>
        <v>0</v>
      </c>
    </row>
    <row r="57" spans="2:11" x14ac:dyDescent="0.25">
      <c r="B57" s="165" t="s">
        <v>116</v>
      </c>
      <c r="C57" s="166">
        <v>89</v>
      </c>
      <c r="D57" s="166">
        <v>0</v>
      </c>
      <c r="E57" s="166">
        <v>0</v>
      </c>
      <c r="F57" s="166">
        <v>0</v>
      </c>
      <c r="G57" s="166">
        <v>0</v>
      </c>
      <c r="H57" s="166">
        <v>0</v>
      </c>
      <c r="I57" s="181" t="str">
        <f t="shared" si="26"/>
        <v>-</v>
      </c>
      <c r="J57" s="165">
        <f t="shared" si="25"/>
        <v>0</v>
      </c>
      <c r="K57" s="167">
        <f t="shared" si="24"/>
        <v>0</v>
      </c>
    </row>
    <row r="58" spans="2:11" x14ac:dyDescent="0.25">
      <c r="B58" s="165" t="s">
        <v>119</v>
      </c>
      <c r="C58" s="166">
        <v>56</v>
      </c>
      <c r="D58" s="166">
        <v>0</v>
      </c>
      <c r="E58" s="166">
        <v>0</v>
      </c>
      <c r="F58" s="166">
        <v>0</v>
      </c>
      <c r="G58" s="166">
        <v>0</v>
      </c>
      <c r="H58" s="166">
        <v>0</v>
      </c>
      <c r="I58" s="181" t="str">
        <f t="shared" si="26"/>
        <v>-</v>
      </c>
      <c r="J58" s="165">
        <f t="shared" si="25"/>
        <v>0</v>
      </c>
      <c r="K58" s="167">
        <f t="shared" si="24"/>
        <v>0</v>
      </c>
    </row>
    <row r="59" spans="2:11" x14ac:dyDescent="0.25">
      <c r="B59" s="165" t="s">
        <v>126</v>
      </c>
      <c r="C59" s="166">
        <v>13</v>
      </c>
      <c r="D59" s="166">
        <v>0</v>
      </c>
      <c r="E59" s="166">
        <v>0</v>
      </c>
      <c r="F59" s="166">
        <v>0</v>
      </c>
      <c r="G59" s="166">
        <v>0</v>
      </c>
      <c r="H59" s="166">
        <v>0</v>
      </c>
      <c r="I59" s="181" t="str">
        <f t="shared" si="26"/>
        <v>-</v>
      </c>
      <c r="J59" s="165">
        <f t="shared" si="25"/>
        <v>0</v>
      </c>
      <c r="K59" s="167">
        <f t="shared" si="24"/>
        <v>0</v>
      </c>
    </row>
    <row r="60" spans="2:11" x14ac:dyDescent="0.25">
      <c r="B60" s="165" t="s">
        <v>122</v>
      </c>
      <c r="C60" s="166">
        <v>52</v>
      </c>
      <c r="D60" s="166">
        <v>0</v>
      </c>
      <c r="E60" s="166">
        <v>0</v>
      </c>
      <c r="F60" s="166">
        <v>0</v>
      </c>
      <c r="G60" s="166">
        <v>0</v>
      </c>
      <c r="H60" s="166">
        <v>0</v>
      </c>
      <c r="I60" s="181" t="str">
        <f t="shared" si="26"/>
        <v>-</v>
      </c>
      <c r="J60" s="165">
        <f t="shared" si="25"/>
        <v>0</v>
      </c>
      <c r="K60" s="167">
        <f t="shared" si="24"/>
        <v>0</v>
      </c>
    </row>
    <row r="61" spans="2:11" x14ac:dyDescent="0.25">
      <c r="B61" s="165" t="s">
        <v>131</v>
      </c>
      <c r="C61" s="166">
        <v>60</v>
      </c>
      <c r="D61" s="166">
        <v>0</v>
      </c>
      <c r="E61" s="166">
        <v>0</v>
      </c>
      <c r="F61" s="166">
        <v>0</v>
      </c>
      <c r="G61" s="166">
        <v>0</v>
      </c>
      <c r="H61" s="166">
        <v>0</v>
      </c>
      <c r="I61" s="181" t="str">
        <f t="shared" si="26"/>
        <v>-</v>
      </c>
      <c r="J61" s="165">
        <f t="shared" si="25"/>
        <v>0</v>
      </c>
      <c r="K61" s="167">
        <f t="shared" si="24"/>
        <v>0</v>
      </c>
    </row>
    <row r="62" spans="2:11" x14ac:dyDescent="0.25">
      <c r="B62" s="165" t="s">
        <v>134</v>
      </c>
      <c r="C62" s="166">
        <v>96</v>
      </c>
      <c r="D62" s="166">
        <v>0</v>
      </c>
      <c r="E62" s="166">
        <v>0</v>
      </c>
      <c r="F62" s="166">
        <v>0</v>
      </c>
      <c r="G62" s="166">
        <v>0</v>
      </c>
      <c r="H62" s="166">
        <v>0</v>
      </c>
      <c r="I62" s="181" t="str">
        <f t="shared" si="26"/>
        <v>-</v>
      </c>
      <c r="J62" s="165">
        <f t="shared" si="25"/>
        <v>0</v>
      </c>
      <c r="K62" s="167">
        <f t="shared" si="24"/>
        <v>0</v>
      </c>
    </row>
    <row r="63" spans="2:11" x14ac:dyDescent="0.25">
      <c r="B63" s="170" t="s">
        <v>148</v>
      </c>
      <c r="C63" s="171">
        <f t="shared" ref="C63:H63" si="27">IFERROR(C55-SUM(C56:C62),"nd")</f>
        <v>566</v>
      </c>
      <c r="D63" s="171">
        <f t="shared" si="27"/>
        <v>0</v>
      </c>
      <c r="E63" s="171">
        <f t="shared" si="27"/>
        <v>0</v>
      </c>
      <c r="F63" s="171">
        <f t="shared" si="27"/>
        <v>0</v>
      </c>
      <c r="G63" s="171">
        <f t="shared" si="27"/>
        <v>0</v>
      </c>
      <c r="H63" s="171">
        <f t="shared" si="27"/>
        <v>0</v>
      </c>
      <c r="I63" s="182" t="str">
        <f t="shared" si="26"/>
        <v>-</v>
      </c>
      <c r="J63" s="170">
        <f>H63-G63</f>
        <v>0</v>
      </c>
      <c r="K63" s="172">
        <f t="shared" si="24"/>
        <v>0</v>
      </c>
    </row>
    <row r="64" spans="2:11" x14ac:dyDescent="0.25">
      <c r="B64" s="157" t="s">
        <v>50</v>
      </c>
      <c r="C64" s="155"/>
      <c r="D64" s="155"/>
      <c r="E64" s="155"/>
      <c r="F64" s="155"/>
      <c r="G64" s="155"/>
      <c r="H64" s="155"/>
      <c r="I64" s="156"/>
      <c r="J64" s="156"/>
      <c r="K64" s="155"/>
    </row>
    <row r="65" spans="2:11" x14ac:dyDescent="0.25">
      <c r="B65" s="158" t="s">
        <v>71</v>
      </c>
      <c r="C65" s="178" t="str">
        <f t="shared" ref="C65:H65" si="28">IFERROR(C66+C69,"nd")</f>
        <v>nd</v>
      </c>
      <c r="D65" s="178" t="str">
        <f t="shared" si="28"/>
        <v>nd</v>
      </c>
      <c r="E65" s="178" t="str">
        <f t="shared" si="28"/>
        <v>nd</v>
      </c>
      <c r="F65" s="178" t="str">
        <f t="shared" si="28"/>
        <v>nd</v>
      </c>
      <c r="G65" s="178" t="str">
        <f t="shared" si="28"/>
        <v>nd</v>
      </c>
      <c r="H65" s="178" t="str">
        <f t="shared" si="28"/>
        <v>nd</v>
      </c>
      <c r="I65" s="179" t="str">
        <f>IFERROR(H65/G65-1,"-")</f>
        <v>-</v>
      </c>
      <c r="J65" s="178" t="str">
        <f>IFERROR(H65-G65,"-")</f>
        <v>-</v>
      </c>
      <c r="K65" s="179" t="str">
        <f>IFERROR(H65/H$9,"-")</f>
        <v>-</v>
      </c>
    </row>
    <row r="66" spans="2:11" x14ac:dyDescent="0.25">
      <c r="B66" s="161" t="s">
        <v>100</v>
      </c>
      <c r="C66" s="162" t="s">
        <v>328</v>
      </c>
      <c r="D66" s="162" t="s">
        <v>328</v>
      </c>
      <c r="E66" s="162" t="s">
        <v>328</v>
      </c>
      <c r="F66" s="162" t="s">
        <v>328</v>
      </c>
      <c r="G66" s="162" t="s">
        <v>328</v>
      </c>
      <c r="H66" s="162" t="s">
        <v>328</v>
      </c>
      <c r="I66" s="180" t="str">
        <f>IFERROR(H66/G66-1,"-")</f>
        <v>-</v>
      </c>
      <c r="J66" s="183" t="str">
        <f t="shared" ref="J66:J77" si="29">IFERROR(H66-G66,"-")</f>
        <v>-</v>
      </c>
      <c r="K66" s="163" t="str">
        <f t="shared" ref="K66:K77" si="30">IFERROR(H66/H$9,"-")</f>
        <v>-</v>
      </c>
    </row>
    <row r="67" spans="2:11" x14ac:dyDescent="0.25">
      <c r="B67" s="165" t="s">
        <v>106</v>
      </c>
      <c r="C67" s="166" t="s">
        <v>328</v>
      </c>
      <c r="D67" s="166" t="s">
        <v>328</v>
      </c>
      <c r="E67" s="166" t="s">
        <v>328</v>
      </c>
      <c r="F67" s="166" t="s">
        <v>328</v>
      </c>
      <c r="G67" s="166" t="s">
        <v>328</v>
      </c>
      <c r="H67" s="166" t="s">
        <v>328</v>
      </c>
      <c r="I67" s="181" t="str">
        <f>IFERROR(H67/G67-1,"-")</f>
        <v>-</v>
      </c>
      <c r="J67" s="184" t="str">
        <f t="shared" si="29"/>
        <v>-</v>
      </c>
      <c r="K67" s="167" t="str">
        <f t="shared" si="30"/>
        <v>-</v>
      </c>
    </row>
    <row r="68" spans="2:11" x14ac:dyDescent="0.25">
      <c r="B68" s="165" t="s">
        <v>103</v>
      </c>
      <c r="C68" s="166" t="s">
        <v>328</v>
      </c>
      <c r="D68" s="166" t="s">
        <v>328</v>
      </c>
      <c r="E68" s="166" t="s">
        <v>328</v>
      </c>
      <c r="F68" s="166" t="s">
        <v>328</v>
      </c>
      <c r="G68" s="166" t="s">
        <v>328</v>
      </c>
      <c r="H68" s="166" t="s">
        <v>328</v>
      </c>
      <c r="I68" s="181" t="str">
        <f>IFERROR(H68/G68-1,"-")</f>
        <v>-</v>
      </c>
      <c r="J68" s="184" t="str">
        <f t="shared" si="29"/>
        <v>-</v>
      </c>
      <c r="K68" s="167" t="str">
        <f t="shared" si="30"/>
        <v>-</v>
      </c>
    </row>
    <row r="69" spans="2:11" x14ac:dyDescent="0.25">
      <c r="B69" s="161" t="s">
        <v>110</v>
      </c>
      <c r="C69" s="162" t="s">
        <v>328</v>
      </c>
      <c r="D69" s="162" t="s">
        <v>328</v>
      </c>
      <c r="E69" s="162" t="s">
        <v>328</v>
      </c>
      <c r="F69" s="162" t="s">
        <v>328</v>
      </c>
      <c r="G69" s="162" t="s">
        <v>328</v>
      </c>
      <c r="H69" s="162" t="s">
        <v>328</v>
      </c>
      <c r="I69" s="180" t="str">
        <f>IFERROR(H69/G69-1,"-")</f>
        <v>-</v>
      </c>
      <c r="J69" s="183" t="str">
        <f t="shared" si="29"/>
        <v>-</v>
      </c>
      <c r="K69" s="163" t="str">
        <f t="shared" si="30"/>
        <v>-</v>
      </c>
    </row>
    <row r="70" spans="2:11" x14ac:dyDescent="0.25">
      <c r="B70" s="165" t="s">
        <v>113</v>
      </c>
      <c r="C70" s="166" t="s">
        <v>328</v>
      </c>
      <c r="D70" s="166" t="s">
        <v>328</v>
      </c>
      <c r="E70" s="166" t="s">
        <v>328</v>
      </c>
      <c r="F70" s="166" t="s">
        <v>328</v>
      </c>
      <c r="G70" s="166" t="s">
        <v>328</v>
      </c>
      <c r="H70" s="166" t="s">
        <v>328</v>
      </c>
      <c r="I70" s="181" t="str">
        <f t="shared" ref="I70:I77" si="31">IFERROR(H70/G70-1,"-")</f>
        <v>-</v>
      </c>
      <c r="J70" s="184" t="str">
        <f t="shared" si="29"/>
        <v>-</v>
      </c>
      <c r="K70" s="167" t="str">
        <f t="shared" si="30"/>
        <v>-</v>
      </c>
    </row>
    <row r="71" spans="2:11" x14ac:dyDescent="0.25">
      <c r="B71" s="165" t="s">
        <v>116</v>
      </c>
      <c r="C71" s="166" t="s">
        <v>328</v>
      </c>
      <c r="D71" s="166" t="s">
        <v>328</v>
      </c>
      <c r="E71" s="166" t="s">
        <v>328</v>
      </c>
      <c r="F71" s="166" t="s">
        <v>328</v>
      </c>
      <c r="G71" s="166" t="s">
        <v>328</v>
      </c>
      <c r="H71" s="166" t="s">
        <v>328</v>
      </c>
      <c r="I71" s="181" t="str">
        <f t="shared" si="31"/>
        <v>-</v>
      </c>
      <c r="J71" s="184" t="str">
        <f t="shared" si="29"/>
        <v>-</v>
      </c>
      <c r="K71" s="167" t="str">
        <f t="shared" si="30"/>
        <v>-</v>
      </c>
    </row>
    <row r="72" spans="2:11" x14ac:dyDescent="0.25">
      <c r="B72" s="165" t="s">
        <v>119</v>
      </c>
      <c r="C72" s="166" t="s">
        <v>328</v>
      </c>
      <c r="D72" s="166" t="s">
        <v>328</v>
      </c>
      <c r="E72" s="166" t="s">
        <v>328</v>
      </c>
      <c r="F72" s="166" t="s">
        <v>328</v>
      </c>
      <c r="G72" s="166" t="s">
        <v>328</v>
      </c>
      <c r="H72" s="166" t="s">
        <v>328</v>
      </c>
      <c r="I72" s="181" t="str">
        <f t="shared" si="31"/>
        <v>-</v>
      </c>
      <c r="J72" s="184" t="str">
        <f t="shared" si="29"/>
        <v>-</v>
      </c>
      <c r="K72" s="167" t="str">
        <f t="shared" si="30"/>
        <v>-</v>
      </c>
    </row>
    <row r="73" spans="2:11" x14ac:dyDescent="0.25">
      <c r="B73" s="165" t="s">
        <v>126</v>
      </c>
      <c r="C73" s="166" t="s">
        <v>328</v>
      </c>
      <c r="D73" s="166" t="s">
        <v>328</v>
      </c>
      <c r="E73" s="166" t="s">
        <v>328</v>
      </c>
      <c r="F73" s="166" t="s">
        <v>328</v>
      </c>
      <c r="G73" s="166" t="s">
        <v>328</v>
      </c>
      <c r="H73" s="166" t="s">
        <v>328</v>
      </c>
      <c r="I73" s="181" t="str">
        <f t="shared" si="31"/>
        <v>-</v>
      </c>
      <c r="J73" s="184" t="str">
        <f t="shared" si="29"/>
        <v>-</v>
      </c>
      <c r="K73" s="167" t="str">
        <f t="shared" si="30"/>
        <v>-</v>
      </c>
    </row>
    <row r="74" spans="2:11" x14ac:dyDescent="0.25">
      <c r="B74" s="165" t="s">
        <v>122</v>
      </c>
      <c r="C74" s="166" t="s">
        <v>328</v>
      </c>
      <c r="D74" s="166" t="s">
        <v>328</v>
      </c>
      <c r="E74" s="166" t="s">
        <v>328</v>
      </c>
      <c r="F74" s="166" t="s">
        <v>328</v>
      </c>
      <c r="G74" s="166" t="s">
        <v>328</v>
      </c>
      <c r="H74" s="166" t="s">
        <v>328</v>
      </c>
      <c r="I74" s="181" t="str">
        <f t="shared" si="31"/>
        <v>-</v>
      </c>
      <c r="J74" s="184" t="str">
        <f t="shared" si="29"/>
        <v>-</v>
      </c>
      <c r="K74" s="167" t="str">
        <f t="shared" si="30"/>
        <v>-</v>
      </c>
    </row>
    <row r="75" spans="2:11" x14ac:dyDescent="0.25">
      <c r="B75" s="165" t="s">
        <v>131</v>
      </c>
      <c r="C75" s="166" t="s">
        <v>328</v>
      </c>
      <c r="D75" s="166" t="s">
        <v>328</v>
      </c>
      <c r="E75" s="166" t="s">
        <v>328</v>
      </c>
      <c r="F75" s="166" t="s">
        <v>328</v>
      </c>
      <c r="G75" s="166" t="s">
        <v>328</v>
      </c>
      <c r="H75" s="166" t="s">
        <v>328</v>
      </c>
      <c r="I75" s="181" t="str">
        <f t="shared" si="31"/>
        <v>-</v>
      </c>
      <c r="J75" s="184" t="str">
        <f t="shared" si="29"/>
        <v>-</v>
      </c>
      <c r="K75" s="167" t="str">
        <f t="shared" si="30"/>
        <v>-</v>
      </c>
    </row>
    <row r="76" spans="2:11" x14ac:dyDescent="0.25">
      <c r="B76" s="165" t="s">
        <v>134</v>
      </c>
      <c r="C76" s="166" t="s">
        <v>328</v>
      </c>
      <c r="D76" s="166" t="s">
        <v>328</v>
      </c>
      <c r="E76" s="166" t="s">
        <v>328</v>
      </c>
      <c r="F76" s="166" t="s">
        <v>328</v>
      </c>
      <c r="G76" s="166" t="s">
        <v>328</v>
      </c>
      <c r="H76" s="166" t="s">
        <v>328</v>
      </c>
      <c r="I76" s="181" t="str">
        <f t="shared" si="31"/>
        <v>-</v>
      </c>
      <c r="J76" s="184" t="str">
        <f t="shared" si="29"/>
        <v>-</v>
      </c>
      <c r="K76" s="167" t="str">
        <f t="shared" si="30"/>
        <v>-</v>
      </c>
    </row>
    <row r="77" spans="2:11" x14ac:dyDescent="0.25">
      <c r="B77" s="170" t="s">
        <v>148</v>
      </c>
      <c r="C77" s="171" t="str">
        <f t="shared" ref="C77:H77" si="32">IFERROR(C69-SUM(C70:C76),"nd")</f>
        <v>nd</v>
      </c>
      <c r="D77" s="171" t="str">
        <f t="shared" si="32"/>
        <v>nd</v>
      </c>
      <c r="E77" s="171" t="str">
        <f t="shared" si="32"/>
        <v>nd</v>
      </c>
      <c r="F77" s="171" t="str">
        <f t="shared" si="32"/>
        <v>nd</v>
      </c>
      <c r="G77" s="171" t="str">
        <f t="shared" si="32"/>
        <v>nd</v>
      </c>
      <c r="H77" s="171" t="str">
        <f t="shared" si="32"/>
        <v>nd</v>
      </c>
      <c r="I77" s="182" t="str">
        <f t="shared" si="31"/>
        <v>-</v>
      </c>
      <c r="J77" s="185" t="str">
        <f t="shared" si="29"/>
        <v>-</v>
      </c>
      <c r="K77" s="172" t="str">
        <f t="shared" si="30"/>
        <v>-</v>
      </c>
    </row>
    <row r="78" spans="2:11" x14ac:dyDescent="0.25">
      <c r="B78" s="157" t="s">
        <v>51</v>
      </c>
      <c r="C78" s="155"/>
      <c r="D78" s="155"/>
      <c r="E78" s="155"/>
      <c r="F78" s="155"/>
      <c r="G78" s="155"/>
      <c r="H78" s="155"/>
      <c r="I78" s="156"/>
      <c r="J78" s="156"/>
      <c r="K78" s="155"/>
    </row>
    <row r="79" spans="2:11" x14ac:dyDescent="0.25">
      <c r="B79" s="158" t="s">
        <v>71</v>
      </c>
      <c r="C79" s="178">
        <f t="shared" ref="C79:H79" si="33">IFERROR(C80+C83,"nd")</f>
        <v>43519</v>
      </c>
      <c r="D79" s="178">
        <f t="shared" si="33"/>
        <v>68948</v>
      </c>
      <c r="E79" s="178">
        <f t="shared" si="33"/>
        <v>135425</v>
      </c>
      <c r="F79" s="178">
        <f t="shared" si="33"/>
        <v>145200</v>
      </c>
      <c r="G79" s="178">
        <f t="shared" si="33"/>
        <v>173413</v>
      </c>
      <c r="H79" s="178">
        <f t="shared" si="33"/>
        <v>190269</v>
      </c>
      <c r="I79" s="179">
        <f>IFERROR(H79/G79-1,"-")</f>
        <v>9.7201478551204312E-2</v>
      </c>
      <c r="J79" s="178">
        <f>IFERROR(H79-G79,"-")</f>
        <v>16856</v>
      </c>
      <c r="K79" s="179">
        <f>IFERROR(H79/H$9,"-")</f>
        <v>0.15192120208971599</v>
      </c>
    </row>
    <row r="80" spans="2:11" x14ac:dyDescent="0.25">
      <c r="B80" s="161" t="s">
        <v>100</v>
      </c>
      <c r="C80" s="162">
        <v>17509</v>
      </c>
      <c r="D80" s="162">
        <v>34097</v>
      </c>
      <c r="E80" s="162">
        <v>62889</v>
      </c>
      <c r="F80" s="162">
        <v>62764</v>
      </c>
      <c r="G80" s="162">
        <v>82491</v>
      </c>
      <c r="H80" s="162">
        <v>90152</v>
      </c>
      <c r="I80" s="180">
        <f>IFERROR(H80/G80-1,"-")</f>
        <v>9.2870737413778492E-2</v>
      </c>
      <c r="J80" s="183">
        <f t="shared" ref="J80:J91" si="34">IFERROR(H80-G80,"-")</f>
        <v>7661</v>
      </c>
      <c r="K80" s="163">
        <f t="shared" ref="K80:K91" si="35">IFERROR(H80/H$9,"-")</f>
        <v>7.1982299853323842E-2</v>
      </c>
    </row>
    <row r="81" spans="2:11" x14ac:dyDescent="0.25">
      <c r="B81" s="165" t="s">
        <v>106</v>
      </c>
      <c r="C81" s="166">
        <v>7265</v>
      </c>
      <c r="D81" s="166">
        <v>18186</v>
      </c>
      <c r="E81" s="166">
        <v>31185</v>
      </c>
      <c r="F81" s="166">
        <v>31914</v>
      </c>
      <c r="G81" s="166">
        <v>33942</v>
      </c>
      <c r="H81" s="166">
        <v>31876</v>
      </c>
      <c r="I81" s="181">
        <f>IFERROR(H81/G81-1,"-")</f>
        <v>-6.0868540451358144E-2</v>
      </c>
      <c r="J81" s="184">
        <f t="shared" si="34"/>
        <v>-2066</v>
      </c>
      <c r="K81" s="167">
        <f t="shared" si="35"/>
        <v>2.5451546167855964E-2</v>
      </c>
    </row>
    <row r="82" spans="2:11" x14ac:dyDescent="0.25">
      <c r="B82" s="165" t="s">
        <v>103</v>
      </c>
      <c r="C82" s="166">
        <v>10244</v>
      </c>
      <c r="D82" s="166">
        <v>15911</v>
      </c>
      <c r="E82" s="166">
        <v>31704</v>
      </c>
      <c r="F82" s="166">
        <v>30850</v>
      </c>
      <c r="G82" s="166">
        <v>48549</v>
      </c>
      <c r="H82" s="166">
        <v>58276</v>
      </c>
      <c r="I82" s="181">
        <f>IFERROR(H82/G82-1,"-")</f>
        <v>0.20035428124163213</v>
      </c>
      <c r="J82" s="184">
        <f t="shared" si="34"/>
        <v>9727</v>
      </c>
      <c r="K82" s="167">
        <f t="shared" si="35"/>
        <v>4.6530753685467885E-2</v>
      </c>
    </row>
    <row r="83" spans="2:11" x14ac:dyDescent="0.25">
      <c r="B83" s="161" t="s">
        <v>110</v>
      </c>
      <c r="C83" s="162">
        <v>26010</v>
      </c>
      <c r="D83" s="162">
        <v>34851</v>
      </c>
      <c r="E83" s="162">
        <v>72536</v>
      </c>
      <c r="F83" s="162">
        <v>82436</v>
      </c>
      <c r="G83" s="162">
        <v>90922</v>
      </c>
      <c r="H83" s="162">
        <v>100117</v>
      </c>
      <c r="I83" s="180">
        <f>IFERROR(H83/G83-1,"-")</f>
        <v>0.1011306394491982</v>
      </c>
      <c r="J83" s="183">
        <f t="shared" si="34"/>
        <v>9195</v>
      </c>
      <c r="K83" s="163">
        <f t="shared" si="35"/>
        <v>7.9938902236392134E-2</v>
      </c>
    </row>
    <row r="84" spans="2:11" x14ac:dyDescent="0.25">
      <c r="B84" s="165" t="s">
        <v>113</v>
      </c>
      <c r="C84" s="166">
        <v>2532</v>
      </c>
      <c r="D84" s="166">
        <v>2257</v>
      </c>
      <c r="E84" s="166">
        <v>9426</v>
      </c>
      <c r="F84" s="166">
        <v>11661</v>
      </c>
      <c r="G84" s="166">
        <v>14028</v>
      </c>
      <c r="H84" s="166">
        <v>14495</v>
      </c>
      <c r="I84" s="181">
        <f t="shared" ref="I84:I91" si="36">IFERROR(H84/G84-1,"-")</f>
        <v>3.3290561733675617E-2</v>
      </c>
      <c r="J84" s="184">
        <f t="shared" si="34"/>
        <v>467</v>
      </c>
      <c r="K84" s="167">
        <f t="shared" si="35"/>
        <v>1.157360276393124E-2</v>
      </c>
    </row>
    <row r="85" spans="2:11" x14ac:dyDescent="0.25">
      <c r="B85" s="165" t="s">
        <v>116</v>
      </c>
      <c r="C85" s="166">
        <v>6085</v>
      </c>
      <c r="D85" s="166">
        <v>8567</v>
      </c>
      <c r="E85" s="166">
        <v>15686</v>
      </c>
      <c r="F85" s="166">
        <v>15683</v>
      </c>
      <c r="G85" s="166">
        <v>18445</v>
      </c>
      <c r="H85" s="166">
        <v>19719</v>
      </c>
      <c r="I85" s="181">
        <f t="shared" si="36"/>
        <v>6.9070208728652771E-2</v>
      </c>
      <c r="J85" s="184">
        <f t="shared" si="34"/>
        <v>1274</v>
      </c>
      <c r="K85" s="167">
        <f t="shared" si="35"/>
        <v>1.5744730796961721E-2</v>
      </c>
    </row>
    <row r="86" spans="2:11" x14ac:dyDescent="0.25">
      <c r="B86" s="165" t="s">
        <v>119</v>
      </c>
      <c r="C86" s="166">
        <v>1350</v>
      </c>
      <c r="D86" s="166">
        <v>3539</v>
      </c>
      <c r="E86" s="166">
        <v>4755</v>
      </c>
      <c r="F86" s="166">
        <v>4685</v>
      </c>
      <c r="G86" s="166">
        <v>5838</v>
      </c>
      <c r="H86" s="166">
        <v>9956</v>
      </c>
      <c r="I86" s="181">
        <f t="shared" si="36"/>
        <v>0.70537855429941754</v>
      </c>
      <c r="J86" s="184">
        <f t="shared" si="34"/>
        <v>4118</v>
      </c>
      <c r="K86" s="167">
        <f t="shared" si="35"/>
        <v>7.9494162895963737E-3</v>
      </c>
    </row>
    <row r="87" spans="2:11" x14ac:dyDescent="0.25">
      <c r="B87" s="165" t="s">
        <v>126</v>
      </c>
      <c r="C87" s="166">
        <v>447</v>
      </c>
      <c r="D87" s="166">
        <v>2140</v>
      </c>
      <c r="E87" s="166">
        <v>5107</v>
      </c>
      <c r="F87" s="166">
        <v>5074</v>
      </c>
      <c r="G87" s="166">
        <v>5719</v>
      </c>
      <c r="H87" s="166">
        <v>3236</v>
      </c>
      <c r="I87" s="181">
        <f t="shared" si="36"/>
        <v>-0.43416681237978672</v>
      </c>
      <c r="J87" s="184">
        <f t="shared" si="34"/>
        <v>-2483</v>
      </c>
      <c r="K87" s="167">
        <f t="shared" si="35"/>
        <v>2.5837998305678852E-3</v>
      </c>
    </row>
    <row r="88" spans="2:11" x14ac:dyDescent="0.25">
      <c r="B88" s="165" t="s">
        <v>122</v>
      </c>
      <c r="C88" s="166">
        <v>247</v>
      </c>
      <c r="D88" s="166">
        <v>493</v>
      </c>
      <c r="E88" s="166">
        <v>789</v>
      </c>
      <c r="F88" s="166">
        <v>700</v>
      </c>
      <c r="G88" s="166">
        <v>886</v>
      </c>
      <c r="H88" s="166">
        <v>994</v>
      </c>
      <c r="I88" s="181">
        <f t="shared" si="36"/>
        <v>0.12189616252821667</v>
      </c>
      <c r="J88" s="184">
        <f t="shared" si="34"/>
        <v>108</v>
      </c>
      <c r="K88" s="167">
        <f t="shared" si="35"/>
        <v>7.9366410123129724E-4</v>
      </c>
    </row>
    <row r="89" spans="2:11" x14ac:dyDescent="0.25">
      <c r="B89" s="165" t="s">
        <v>131</v>
      </c>
      <c r="C89" s="166">
        <v>1336</v>
      </c>
      <c r="D89" s="166">
        <v>1498</v>
      </c>
      <c r="E89" s="166">
        <v>4196</v>
      </c>
      <c r="F89" s="166">
        <v>4719</v>
      </c>
      <c r="G89" s="166">
        <v>3822</v>
      </c>
      <c r="H89" s="166">
        <v>4171</v>
      </c>
      <c r="I89" s="181">
        <f t="shared" si="36"/>
        <v>9.1313448456305624E-2</v>
      </c>
      <c r="J89" s="184">
        <f t="shared" si="34"/>
        <v>349</v>
      </c>
      <c r="K89" s="167">
        <f t="shared" si="35"/>
        <v>3.3303550968166403E-3</v>
      </c>
    </row>
    <row r="90" spans="2:11" x14ac:dyDescent="0.25">
      <c r="B90" s="165" t="s">
        <v>134</v>
      </c>
      <c r="C90" s="166">
        <v>2507</v>
      </c>
      <c r="D90" s="166">
        <v>1487</v>
      </c>
      <c r="E90" s="166">
        <v>3901</v>
      </c>
      <c r="F90" s="166">
        <v>5554</v>
      </c>
      <c r="G90" s="166">
        <v>4853</v>
      </c>
      <c r="H90" s="166">
        <v>4002</v>
      </c>
      <c r="I90" s="181">
        <f t="shared" si="36"/>
        <v>-0.17535545023696686</v>
      </c>
      <c r="J90" s="184">
        <f t="shared" si="34"/>
        <v>-851</v>
      </c>
      <c r="K90" s="167">
        <f t="shared" si="35"/>
        <v>3.1954162305107155E-3</v>
      </c>
    </row>
    <row r="91" spans="2:11" x14ac:dyDescent="0.25">
      <c r="B91" s="170" t="s">
        <v>148</v>
      </c>
      <c r="C91" s="171">
        <f t="shared" ref="C91:H91" si="37">IFERROR(C83-SUM(C84:C90),"nd")</f>
        <v>11506</v>
      </c>
      <c r="D91" s="171">
        <f t="shared" si="37"/>
        <v>14870</v>
      </c>
      <c r="E91" s="171">
        <f t="shared" si="37"/>
        <v>28676</v>
      </c>
      <c r="F91" s="171">
        <f t="shared" si="37"/>
        <v>34360</v>
      </c>
      <c r="G91" s="171">
        <f t="shared" si="37"/>
        <v>37331</v>
      </c>
      <c r="H91" s="171">
        <f t="shared" si="37"/>
        <v>43544</v>
      </c>
      <c r="I91" s="182">
        <f t="shared" si="36"/>
        <v>0.16643004473493872</v>
      </c>
      <c r="J91" s="185">
        <f t="shared" si="34"/>
        <v>6213</v>
      </c>
      <c r="K91" s="172">
        <f t="shared" si="35"/>
        <v>3.4767917126776265E-2</v>
      </c>
    </row>
    <row r="92" spans="2:11" x14ac:dyDescent="0.25">
      <c r="B92" s="157" t="s">
        <v>52</v>
      </c>
      <c r="C92" s="155"/>
      <c r="D92" s="155"/>
      <c r="E92" s="155"/>
      <c r="F92" s="155"/>
      <c r="G92" s="155"/>
      <c r="H92" s="155"/>
      <c r="I92" s="156"/>
      <c r="J92" s="156"/>
      <c r="K92" s="155"/>
    </row>
    <row r="93" spans="2:11" x14ac:dyDescent="0.25">
      <c r="B93" s="158" t="s">
        <v>71</v>
      </c>
      <c r="C93" s="178" t="str">
        <f t="shared" ref="C93:H93" si="38">IFERROR(C94+C97,"nd")</f>
        <v>nd</v>
      </c>
      <c r="D93" s="178" t="str">
        <f t="shared" si="38"/>
        <v>nd</v>
      </c>
      <c r="E93" s="178" t="str">
        <f t="shared" si="38"/>
        <v>nd</v>
      </c>
      <c r="F93" s="178" t="str">
        <f t="shared" si="38"/>
        <v>nd</v>
      </c>
      <c r="G93" s="178" t="str">
        <f t="shared" si="38"/>
        <v>nd</v>
      </c>
      <c r="H93" s="178" t="str">
        <f t="shared" si="38"/>
        <v>nd</v>
      </c>
      <c r="I93" s="179" t="str">
        <f>IFERROR(H93/G93-1,"-")</f>
        <v>-</v>
      </c>
      <c r="J93" s="178" t="str">
        <f>IFERROR(H93-G93,"-")</f>
        <v>-</v>
      </c>
      <c r="K93" s="179" t="str">
        <f>IFERROR(H93/H$9,"-")</f>
        <v>-</v>
      </c>
    </row>
    <row r="94" spans="2:11" x14ac:dyDescent="0.25">
      <c r="B94" s="161" t="s">
        <v>100</v>
      </c>
      <c r="C94" s="162" t="s">
        <v>328</v>
      </c>
      <c r="D94" s="162" t="s">
        <v>328</v>
      </c>
      <c r="E94" s="162" t="s">
        <v>328</v>
      </c>
      <c r="F94" s="162" t="s">
        <v>328</v>
      </c>
      <c r="G94" s="162" t="s">
        <v>328</v>
      </c>
      <c r="H94" s="162" t="s">
        <v>328</v>
      </c>
      <c r="I94" s="180" t="str">
        <f>IFERROR(H94/G94-1,"-")</f>
        <v>-</v>
      </c>
      <c r="J94" s="183" t="str">
        <f t="shared" ref="J94:J105" si="39">IFERROR(H94-G94,"-")</f>
        <v>-</v>
      </c>
      <c r="K94" s="163" t="str">
        <f t="shared" ref="K94:K105" si="40">IFERROR(H94/H$9,"-")</f>
        <v>-</v>
      </c>
    </row>
    <row r="95" spans="2:11" x14ac:dyDescent="0.25">
      <c r="B95" s="165" t="s">
        <v>106</v>
      </c>
      <c r="C95" s="166" t="s">
        <v>328</v>
      </c>
      <c r="D95" s="166" t="s">
        <v>328</v>
      </c>
      <c r="E95" s="166" t="s">
        <v>328</v>
      </c>
      <c r="F95" s="166" t="s">
        <v>328</v>
      </c>
      <c r="G95" s="166" t="s">
        <v>328</v>
      </c>
      <c r="H95" s="166" t="s">
        <v>328</v>
      </c>
      <c r="I95" s="181" t="str">
        <f>IFERROR(H95/G95-1,"-")</f>
        <v>-</v>
      </c>
      <c r="J95" s="184" t="str">
        <f t="shared" si="39"/>
        <v>-</v>
      </c>
      <c r="K95" s="167" t="str">
        <f t="shared" si="40"/>
        <v>-</v>
      </c>
    </row>
    <row r="96" spans="2:11" x14ac:dyDescent="0.25">
      <c r="B96" s="165" t="s">
        <v>103</v>
      </c>
      <c r="C96" s="166" t="s">
        <v>328</v>
      </c>
      <c r="D96" s="166" t="s">
        <v>328</v>
      </c>
      <c r="E96" s="166" t="s">
        <v>328</v>
      </c>
      <c r="F96" s="166" t="s">
        <v>328</v>
      </c>
      <c r="G96" s="166" t="s">
        <v>328</v>
      </c>
      <c r="H96" s="166" t="s">
        <v>328</v>
      </c>
      <c r="I96" s="181" t="str">
        <f>IFERROR(H96/G96-1,"-")</f>
        <v>-</v>
      </c>
      <c r="J96" s="184" t="str">
        <f t="shared" si="39"/>
        <v>-</v>
      </c>
      <c r="K96" s="167" t="str">
        <f t="shared" si="40"/>
        <v>-</v>
      </c>
    </row>
    <row r="97" spans="2:11" x14ac:dyDescent="0.25">
      <c r="B97" s="161" t="s">
        <v>110</v>
      </c>
      <c r="C97" s="162" t="s">
        <v>328</v>
      </c>
      <c r="D97" s="162" t="s">
        <v>328</v>
      </c>
      <c r="E97" s="162" t="s">
        <v>328</v>
      </c>
      <c r="F97" s="162" t="s">
        <v>328</v>
      </c>
      <c r="G97" s="162" t="s">
        <v>328</v>
      </c>
      <c r="H97" s="162" t="s">
        <v>328</v>
      </c>
      <c r="I97" s="180" t="str">
        <f>IFERROR(H97/G97-1,"-")</f>
        <v>-</v>
      </c>
      <c r="J97" s="183" t="str">
        <f t="shared" si="39"/>
        <v>-</v>
      </c>
      <c r="K97" s="163" t="str">
        <f t="shared" si="40"/>
        <v>-</v>
      </c>
    </row>
    <row r="98" spans="2:11" x14ac:dyDescent="0.25">
      <c r="B98" s="165" t="s">
        <v>113</v>
      </c>
      <c r="C98" s="166" t="s">
        <v>328</v>
      </c>
      <c r="D98" s="166" t="s">
        <v>328</v>
      </c>
      <c r="E98" s="166" t="s">
        <v>328</v>
      </c>
      <c r="F98" s="166" t="s">
        <v>328</v>
      </c>
      <c r="G98" s="166" t="s">
        <v>328</v>
      </c>
      <c r="H98" s="166" t="s">
        <v>328</v>
      </c>
      <c r="I98" s="181" t="str">
        <f t="shared" ref="I98:I105" si="41">IFERROR(H98/G98-1,"-")</f>
        <v>-</v>
      </c>
      <c r="J98" s="184" t="str">
        <f t="shared" si="39"/>
        <v>-</v>
      </c>
      <c r="K98" s="167" t="str">
        <f t="shared" si="40"/>
        <v>-</v>
      </c>
    </row>
    <row r="99" spans="2:11" x14ac:dyDescent="0.25">
      <c r="B99" s="165" t="s">
        <v>116</v>
      </c>
      <c r="C99" s="166" t="s">
        <v>328</v>
      </c>
      <c r="D99" s="166" t="s">
        <v>328</v>
      </c>
      <c r="E99" s="166" t="s">
        <v>328</v>
      </c>
      <c r="F99" s="166" t="s">
        <v>328</v>
      </c>
      <c r="G99" s="166" t="s">
        <v>328</v>
      </c>
      <c r="H99" s="166" t="s">
        <v>328</v>
      </c>
      <c r="I99" s="181" t="str">
        <f t="shared" si="41"/>
        <v>-</v>
      </c>
      <c r="J99" s="184" t="str">
        <f t="shared" si="39"/>
        <v>-</v>
      </c>
      <c r="K99" s="167" t="str">
        <f t="shared" si="40"/>
        <v>-</v>
      </c>
    </row>
    <row r="100" spans="2:11" x14ac:dyDescent="0.25">
      <c r="B100" s="165" t="s">
        <v>119</v>
      </c>
      <c r="C100" s="166" t="s">
        <v>328</v>
      </c>
      <c r="D100" s="166" t="s">
        <v>328</v>
      </c>
      <c r="E100" s="166" t="s">
        <v>328</v>
      </c>
      <c r="F100" s="166" t="s">
        <v>328</v>
      </c>
      <c r="G100" s="166" t="s">
        <v>328</v>
      </c>
      <c r="H100" s="166" t="s">
        <v>328</v>
      </c>
      <c r="I100" s="181" t="str">
        <f t="shared" si="41"/>
        <v>-</v>
      </c>
      <c r="J100" s="184" t="str">
        <f t="shared" si="39"/>
        <v>-</v>
      </c>
      <c r="K100" s="167" t="str">
        <f t="shared" si="40"/>
        <v>-</v>
      </c>
    </row>
    <row r="101" spans="2:11" x14ac:dyDescent="0.25">
      <c r="B101" s="165" t="s">
        <v>126</v>
      </c>
      <c r="C101" s="166" t="s">
        <v>328</v>
      </c>
      <c r="D101" s="166" t="s">
        <v>328</v>
      </c>
      <c r="E101" s="166" t="s">
        <v>328</v>
      </c>
      <c r="F101" s="166" t="s">
        <v>328</v>
      </c>
      <c r="G101" s="166" t="s">
        <v>328</v>
      </c>
      <c r="H101" s="166" t="s">
        <v>328</v>
      </c>
      <c r="I101" s="181" t="str">
        <f t="shared" si="41"/>
        <v>-</v>
      </c>
      <c r="J101" s="184" t="str">
        <f t="shared" si="39"/>
        <v>-</v>
      </c>
      <c r="K101" s="167" t="str">
        <f t="shared" si="40"/>
        <v>-</v>
      </c>
    </row>
    <row r="102" spans="2:11" x14ac:dyDescent="0.25">
      <c r="B102" s="165" t="s">
        <v>122</v>
      </c>
      <c r="C102" s="166" t="s">
        <v>328</v>
      </c>
      <c r="D102" s="166" t="s">
        <v>328</v>
      </c>
      <c r="E102" s="166" t="s">
        <v>328</v>
      </c>
      <c r="F102" s="166" t="s">
        <v>328</v>
      </c>
      <c r="G102" s="166" t="s">
        <v>328</v>
      </c>
      <c r="H102" s="166" t="s">
        <v>328</v>
      </c>
      <c r="I102" s="181" t="str">
        <f t="shared" si="41"/>
        <v>-</v>
      </c>
      <c r="J102" s="184" t="str">
        <f t="shared" si="39"/>
        <v>-</v>
      </c>
      <c r="K102" s="167" t="str">
        <f t="shared" si="40"/>
        <v>-</v>
      </c>
    </row>
    <row r="103" spans="2:11" x14ac:dyDescent="0.25">
      <c r="B103" s="165" t="s">
        <v>131</v>
      </c>
      <c r="C103" s="166" t="s">
        <v>328</v>
      </c>
      <c r="D103" s="166" t="s">
        <v>328</v>
      </c>
      <c r="E103" s="166" t="s">
        <v>328</v>
      </c>
      <c r="F103" s="166" t="s">
        <v>328</v>
      </c>
      <c r="G103" s="166" t="s">
        <v>328</v>
      </c>
      <c r="H103" s="166" t="s">
        <v>328</v>
      </c>
      <c r="I103" s="181" t="str">
        <f t="shared" si="41"/>
        <v>-</v>
      </c>
      <c r="J103" s="184" t="str">
        <f t="shared" si="39"/>
        <v>-</v>
      </c>
      <c r="K103" s="167" t="str">
        <f t="shared" si="40"/>
        <v>-</v>
      </c>
    </row>
    <row r="104" spans="2:11" x14ac:dyDescent="0.25">
      <c r="B104" s="165" t="s">
        <v>134</v>
      </c>
      <c r="C104" s="166" t="s">
        <v>328</v>
      </c>
      <c r="D104" s="166" t="s">
        <v>328</v>
      </c>
      <c r="E104" s="166" t="s">
        <v>328</v>
      </c>
      <c r="F104" s="166" t="s">
        <v>328</v>
      </c>
      <c r="G104" s="166" t="s">
        <v>328</v>
      </c>
      <c r="H104" s="166" t="s">
        <v>328</v>
      </c>
      <c r="I104" s="181" t="str">
        <f t="shared" si="41"/>
        <v>-</v>
      </c>
      <c r="J104" s="184" t="str">
        <f t="shared" si="39"/>
        <v>-</v>
      </c>
      <c r="K104" s="167" t="str">
        <f t="shared" si="40"/>
        <v>-</v>
      </c>
    </row>
    <row r="105" spans="2:11" x14ac:dyDescent="0.25">
      <c r="B105" s="170" t="s">
        <v>148</v>
      </c>
      <c r="C105" s="171" t="str">
        <f t="shared" ref="C105:H105" si="42">IFERROR(C97-SUM(C98:C104),"nd")</f>
        <v>nd</v>
      </c>
      <c r="D105" s="171" t="str">
        <f t="shared" si="42"/>
        <v>nd</v>
      </c>
      <c r="E105" s="171" t="str">
        <f t="shared" si="42"/>
        <v>nd</v>
      </c>
      <c r="F105" s="171" t="str">
        <f t="shared" si="42"/>
        <v>nd</v>
      </c>
      <c r="G105" s="171" t="str">
        <f t="shared" si="42"/>
        <v>nd</v>
      </c>
      <c r="H105" s="171" t="str">
        <f t="shared" si="42"/>
        <v>nd</v>
      </c>
      <c r="I105" s="182" t="str">
        <f t="shared" si="41"/>
        <v>-</v>
      </c>
      <c r="J105" s="185" t="str">
        <f t="shared" si="39"/>
        <v>-</v>
      </c>
      <c r="K105" s="172" t="str">
        <f t="shared" si="40"/>
        <v>-</v>
      </c>
    </row>
    <row r="106" spans="2:11" x14ac:dyDescent="0.25">
      <c r="B106" s="157" t="s">
        <v>53</v>
      </c>
      <c r="C106" s="155"/>
      <c r="D106" s="155"/>
      <c r="E106" s="155"/>
      <c r="F106" s="155"/>
      <c r="G106" s="155"/>
      <c r="H106" s="155"/>
      <c r="I106" s="156"/>
      <c r="J106" s="156"/>
      <c r="K106" s="155"/>
    </row>
    <row r="107" spans="2:11" x14ac:dyDescent="0.25">
      <c r="B107" s="158" t="s">
        <v>71</v>
      </c>
      <c r="C107" s="178">
        <f t="shared" ref="C107:H107" si="43">IFERROR(C108+C111,"nd")</f>
        <v>13783</v>
      </c>
      <c r="D107" s="178">
        <f t="shared" si="43"/>
        <v>11462</v>
      </c>
      <c r="E107" s="178">
        <f t="shared" si="43"/>
        <v>29079</v>
      </c>
      <c r="F107" s="178">
        <f t="shared" si="43"/>
        <v>31827</v>
      </c>
      <c r="G107" s="178">
        <f t="shared" si="43"/>
        <v>31868</v>
      </c>
      <c r="H107" s="178">
        <f t="shared" si="43"/>
        <v>32684</v>
      </c>
      <c r="I107" s="179">
        <f>IFERROR(H107/G107-1,"-")</f>
        <v>2.560562319568227E-2</v>
      </c>
      <c r="J107" s="178">
        <f>IFERROR(H107-G107,"-")</f>
        <v>816</v>
      </c>
      <c r="K107" s="179">
        <f>IFERROR(H107/H$9,"-")</f>
        <v>2.6096697670667725E-2</v>
      </c>
    </row>
    <row r="108" spans="2:11" x14ac:dyDescent="0.25">
      <c r="B108" s="161" t="s">
        <v>100</v>
      </c>
      <c r="C108" s="162">
        <v>2062</v>
      </c>
      <c r="D108" s="162">
        <v>4739</v>
      </c>
      <c r="E108" s="162">
        <v>7498</v>
      </c>
      <c r="F108" s="162">
        <v>7141</v>
      </c>
      <c r="G108" s="162">
        <v>6328</v>
      </c>
      <c r="H108" s="162">
        <v>5789</v>
      </c>
      <c r="I108" s="180">
        <f>IFERROR(H108/G108-1,"-")</f>
        <v>-8.5176991150442527E-2</v>
      </c>
      <c r="J108" s="183">
        <f t="shared" ref="J108:J119" si="44">IFERROR(H108-G108,"-")</f>
        <v>-539</v>
      </c>
      <c r="K108" s="163">
        <f t="shared" ref="K108:K119" si="45">IFERROR(H108/H$9,"-")</f>
        <v>4.6222550121005831E-3</v>
      </c>
    </row>
    <row r="109" spans="2:11" x14ac:dyDescent="0.25">
      <c r="B109" s="165" t="s">
        <v>106</v>
      </c>
      <c r="C109" s="166">
        <v>1454</v>
      </c>
      <c r="D109" s="166">
        <v>3769</v>
      </c>
      <c r="E109" s="166">
        <v>5328</v>
      </c>
      <c r="F109" s="166">
        <v>4960</v>
      </c>
      <c r="G109" s="166">
        <v>3891</v>
      </c>
      <c r="H109" s="166">
        <v>3312</v>
      </c>
      <c r="I109" s="181">
        <f>IFERROR(H109/G109-1,"-")</f>
        <v>-0.148804934464148</v>
      </c>
      <c r="J109" s="184">
        <f t="shared" si="44"/>
        <v>-579</v>
      </c>
      <c r="K109" s="167">
        <f t="shared" si="45"/>
        <v>2.6444823976640407E-3</v>
      </c>
    </row>
    <row r="110" spans="2:11" x14ac:dyDescent="0.25">
      <c r="B110" s="165" t="s">
        <v>103</v>
      </c>
      <c r="C110" s="166">
        <v>608</v>
      </c>
      <c r="D110" s="166">
        <v>970</v>
      </c>
      <c r="E110" s="166">
        <v>2170</v>
      </c>
      <c r="F110" s="166">
        <v>2181</v>
      </c>
      <c r="G110" s="166">
        <v>2437</v>
      </c>
      <c r="H110" s="166">
        <v>2477</v>
      </c>
      <c r="I110" s="181">
        <f>IFERROR(H110/G110-1,"-")</f>
        <v>1.6413623307345082E-2</v>
      </c>
      <c r="J110" s="184">
        <f t="shared" si="44"/>
        <v>40</v>
      </c>
      <c r="K110" s="167">
        <f t="shared" si="45"/>
        <v>1.9777726144365425E-3</v>
      </c>
    </row>
    <row r="111" spans="2:11" x14ac:dyDescent="0.25">
      <c r="B111" s="161" t="s">
        <v>110</v>
      </c>
      <c r="C111" s="162">
        <v>11721</v>
      </c>
      <c r="D111" s="162">
        <v>6723</v>
      </c>
      <c r="E111" s="162">
        <v>21581</v>
      </c>
      <c r="F111" s="162">
        <v>24686</v>
      </c>
      <c r="G111" s="162">
        <v>25540</v>
      </c>
      <c r="H111" s="162">
        <v>26895</v>
      </c>
      <c r="I111" s="180">
        <f>IFERROR(H111/G111-1,"-")</f>
        <v>5.305403288958499E-2</v>
      </c>
      <c r="J111" s="183">
        <f t="shared" si="44"/>
        <v>1355</v>
      </c>
      <c r="K111" s="163">
        <f t="shared" si="45"/>
        <v>2.1474442658567142E-2</v>
      </c>
    </row>
    <row r="112" spans="2:11" x14ac:dyDescent="0.25">
      <c r="B112" s="165" t="s">
        <v>113</v>
      </c>
      <c r="C112" s="166">
        <v>6095</v>
      </c>
      <c r="D112" s="166">
        <v>3803</v>
      </c>
      <c r="E112" s="166">
        <v>13078</v>
      </c>
      <c r="F112" s="166">
        <v>14878</v>
      </c>
      <c r="G112" s="166">
        <v>14577</v>
      </c>
      <c r="H112" s="166">
        <v>15614</v>
      </c>
      <c r="I112" s="181">
        <f t="shared" ref="I112:I119" si="46">IFERROR(H112/G112-1,"-")</f>
        <v>7.1139466282499786E-2</v>
      </c>
      <c r="J112" s="184">
        <f t="shared" si="44"/>
        <v>1037</v>
      </c>
      <c r="K112" s="167">
        <f t="shared" si="45"/>
        <v>1.2467073718939108E-2</v>
      </c>
    </row>
    <row r="113" spans="2:11" x14ac:dyDescent="0.25">
      <c r="B113" s="165" t="s">
        <v>116</v>
      </c>
      <c r="C113" s="166">
        <v>480</v>
      </c>
      <c r="D113" s="166">
        <v>343</v>
      </c>
      <c r="E113" s="166">
        <v>1027</v>
      </c>
      <c r="F113" s="166">
        <v>1286</v>
      </c>
      <c r="G113" s="166">
        <v>1301</v>
      </c>
      <c r="H113" s="166">
        <v>1658</v>
      </c>
      <c r="I113" s="181">
        <f t="shared" si="46"/>
        <v>0.27440430438124519</v>
      </c>
      <c r="J113" s="184">
        <f t="shared" si="44"/>
        <v>357</v>
      </c>
      <c r="K113" s="167">
        <f t="shared" si="45"/>
        <v>1.3238381084924454E-3</v>
      </c>
    </row>
    <row r="114" spans="2:11" x14ac:dyDescent="0.25">
      <c r="B114" s="165" t="s">
        <v>119</v>
      </c>
      <c r="C114" s="166">
        <v>623</v>
      </c>
      <c r="D114" s="166">
        <v>446</v>
      </c>
      <c r="E114" s="166">
        <v>1192</v>
      </c>
      <c r="F114" s="166">
        <v>1358</v>
      </c>
      <c r="G114" s="166">
        <v>1445</v>
      </c>
      <c r="H114" s="166">
        <v>1427</v>
      </c>
      <c r="I114" s="181">
        <f t="shared" si="46"/>
        <v>-1.2456747404844259E-2</v>
      </c>
      <c r="J114" s="184">
        <f t="shared" si="44"/>
        <v>-18</v>
      </c>
      <c r="K114" s="167">
        <f t="shared" si="45"/>
        <v>1.1393950427133412E-3</v>
      </c>
    </row>
    <row r="115" spans="2:11" x14ac:dyDescent="0.25">
      <c r="B115" s="165" t="s">
        <v>126</v>
      </c>
      <c r="C115" s="166">
        <v>167</v>
      </c>
      <c r="D115" s="166">
        <v>134</v>
      </c>
      <c r="E115" s="166">
        <v>396</v>
      </c>
      <c r="F115" s="166">
        <v>482</v>
      </c>
      <c r="G115" s="166">
        <v>564</v>
      </c>
      <c r="H115" s="166">
        <v>619</v>
      </c>
      <c r="I115" s="181">
        <f t="shared" si="46"/>
        <v>9.7517730496453847E-2</v>
      </c>
      <c r="J115" s="184">
        <f t="shared" si="44"/>
        <v>55</v>
      </c>
      <c r="K115" s="167">
        <f t="shared" si="45"/>
        <v>4.9424353990158243E-4</v>
      </c>
    </row>
    <row r="116" spans="2:11" x14ac:dyDescent="0.25">
      <c r="B116" s="165" t="s">
        <v>122</v>
      </c>
      <c r="C116" s="166">
        <v>268</v>
      </c>
      <c r="D116" s="166">
        <v>198</v>
      </c>
      <c r="E116" s="166">
        <v>433</v>
      </c>
      <c r="F116" s="166">
        <v>424</v>
      </c>
      <c r="G116" s="166">
        <v>460</v>
      </c>
      <c r="H116" s="166">
        <v>476</v>
      </c>
      <c r="I116" s="181">
        <f t="shared" si="46"/>
        <v>3.4782608695652195E-2</v>
      </c>
      <c r="J116" s="184">
        <f t="shared" si="44"/>
        <v>16</v>
      </c>
      <c r="K116" s="167">
        <f t="shared" si="45"/>
        <v>3.8006449918118456E-4</v>
      </c>
    </row>
    <row r="117" spans="2:11" x14ac:dyDescent="0.25">
      <c r="B117" s="165" t="s">
        <v>131</v>
      </c>
      <c r="C117" s="166">
        <v>180</v>
      </c>
      <c r="D117" s="166">
        <v>61</v>
      </c>
      <c r="E117" s="166">
        <v>138</v>
      </c>
      <c r="F117" s="166">
        <v>157</v>
      </c>
      <c r="G117" s="166">
        <v>108</v>
      </c>
      <c r="H117" s="166">
        <v>104</v>
      </c>
      <c r="I117" s="181">
        <f t="shared" si="46"/>
        <v>-3.703703703703709E-2</v>
      </c>
      <c r="J117" s="184">
        <f t="shared" si="44"/>
        <v>-4</v>
      </c>
      <c r="K117" s="167">
        <f t="shared" si="45"/>
        <v>8.3039302342107556E-5</v>
      </c>
    </row>
    <row r="118" spans="2:11" x14ac:dyDescent="0.25">
      <c r="B118" s="165" t="s">
        <v>134</v>
      </c>
      <c r="C118" s="166">
        <v>383</v>
      </c>
      <c r="D118" s="166">
        <v>51</v>
      </c>
      <c r="E118" s="166">
        <v>140</v>
      </c>
      <c r="F118" s="166">
        <v>174</v>
      </c>
      <c r="G118" s="166">
        <v>140</v>
      </c>
      <c r="H118" s="166">
        <v>89</v>
      </c>
      <c r="I118" s="181">
        <f t="shared" si="46"/>
        <v>-0.36428571428571432</v>
      </c>
      <c r="J118" s="184">
        <f t="shared" si="44"/>
        <v>-51</v>
      </c>
      <c r="K118" s="167">
        <f t="shared" si="45"/>
        <v>7.1062479888918959E-5</v>
      </c>
    </row>
    <row r="119" spans="2:11" x14ac:dyDescent="0.25">
      <c r="B119" s="170" t="s">
        <v>148</v>
      </c>
      <c r="C119" s="171">
        <f t="shared" ref="C119:H119" si="47">IFERROR(C111-SUM(C112:C118),"nd")</f>
        <v>3525</v>
      </c>
      <c r="D119" s="171">
        <f t="shared" si="47"/>
        <v>1687</v>
      </c>
      <c r="E119" s="171">
        <f t="shared" si="47"/>
        <v>5177</v>
      </c>
      <c r="F119" s="171">
        <f t="shared" si="47"/>
        <v>5927</v>
      </c>
      <c r="G119" s="171">
        <f t="shared" si="47"/>
        <v>6945</v>
      </c>
      <c r="H119" s="171">
        <f t="shared" si="47"/>
        <v>6908</v>
      </c>
      <c r="I119" s="182">
        <f t="shared" si="46"/>
        <v>-5.3275737940964296E-3</v>
      </c>
      <c r="J119" s="185">
        <f t="shared" si="44"/>
        <v>-37</v>
      </c>
      <c r="K119" s="172">
        <f t="shared" si="45"/>
        <v>5.5157259671084514E-3</v>
      </c>
    </row>
    <row r="120" spans="2:11" x14ac:dyDescent="0.25">
      <c r="B120" s="157" t="s">
        <v>54</v>
      </c>
      <c r="C120" s="155"/>
      <c r="D120" s="155"/>
      <c r="E120" s="155"/>
      <c r="F120" s="155"/>
      <c r="G120" s="155"/>
      <c r="H120" s="155"/>
      <c r="I120" s="156"/>
      <c r="J120" s="156"/>
      <c r="K120" s="155"/>
    </row>
    <row r="121" spans="2:11" x14ac:dyDescent="0.25">
      <c r="B121" s="158" t="s">
        <v>71</v>
      </c>
      <c r="C121" s="178" t="str">
        <f t="shared" ref="C121:H121" si="48">IFERROR(C122+C125,"nd")</f>
        <v>nd</v>
      </c>
      <c r="D121" s="178" t="str">
        <f t="shared" si="48"/>
        <v>nd</v>
      </c>
      <c r="E121" s="178" t="str">
        <f t="shared" si="48"/>
        <v>nd</v>
      </c>
      <c r="F121" s="178" t="str">
        <f t="shared" si="48"/>
        <v>nd</v>
      </c>
      <c r="G121" s="178" t="str">
        <f t="shared" si="48"/>
        <v>nd</v>
      </c>
      <c r="H121" s="178" t="str">
        <f t="shared" si="48"/>
        <v>nd</v>
      </c>
      <c r="I121" s="179" t="str">
        <f>IFERROR(H121/G121-1,"-")</f>
        <v>-</v>
      </c>
      <c r="J121" s="178" t="str">
        <f>IFERROR(H121-G121,"-")</f>
        <v>-</v>
      </c>
      <c r="K121" s="179" t="str">
        <f>IFERROR(H121/H$9,"-")</f>
        <v>-</v>
      </c>
    </row>
    <row r="122" spans="2:11" x14ac:dyDescent="0.25">
      <c r="B122" s="161" t="s">
        <v>100</v>
      </c>
      <c r="C122" s="162" t="s">
        <v>328</v>
      </c>
      <c r="D122" s="162" t="s">
        <v>328</v>
      </c>
      <c r="E122" s="162" t="s">
        <v>328</v>
      </c>
      <c r="F122" s="162" t="s">
        <v>328</v>
      </c>
      <c r="G122" s="162" t="s">
        <v>328</v>
      </c>
      <c r="H122" s="162" t="s">
        <v>328</v>
      </c>
      <c r="I122" s="180" t="str">
        <f>IFERROR(H122/G122-1,"-")</f>
        <v>-</v>
      </c>
      <c r="J122" s="183" t="str">
        <f t="shared" ref="J122:J133" si="49">IFERROR(H122-G122,"-")</f>
        <v>-</v>
      </c>
      <c r="K122" s="163" t="str">
        <f t="shared" ref="K122:K133" si="50">IFERROR(H122/H$9,"-")</f>
        <v>-</v>
      </c>
    </row>
    <row r="123" spans="2:11" x14ac:dyDescent="0.25">
      <c r="B123" s="165" t="s">
        <v>106</v>
      </c>
      <c r="C123" s="166" t="s">
        <v>328</v>
      </c>
      <c r="D123" s="166" t="s">
        <v>328</v>
      </c>
      <c r="E123" s="166" t="s">
        <v>328</v>
      </c>
      <c r="F123" s="166" t="s">
        <v>328</v>
      </c>
      <c r="G123" s="166" t="s">
        <v>328</v>
      </c>
      <c r="H123" s="166" t="s">
        <v>328</v>
      </c>
      <c r="I123" s="181" t="str">
        <f>IFERROR(H123/G123-1,"-")</f>
        <v>-</v>
      </c>
      <c r="J123" s="184" t="str">
        <f t="shared" si="49"/>
        <v>-</v>
      </c>
      <c r="K123" s="167" t="str">
        <f t="shared" si="50"/>
        <v>-</v>
      </c>
    </row>
    <row r="124" spans="2:11" x14ac:dyDescent="0.25">
      <c r="B124" s="165" t="s">
        <v>103</v>
      </c>
      <c r="C124" s="166" t="s">
        <v>328</v>
      </c>
      <c r="D124" s="166" t="s">
        <v>328</v>
      </c>
      <c r="E124" s="166" t="s">
        <v>328</v>
      </c>
      <c r="F124" s="166" t="s">
        <v>328</v>
      </c>
      <c r="G124" s="166" t="s">
        <v>328</v>
      </c>
      <c r="H124" s="166" t="s">
        <v>328</v>
      </c>
      <c r="I124" s="181" t="str">
        <f>IFERROR(H124/G124-1,"-")</f>
        <v>-</v>
      </c>
      <c r="J124" s="184" t="str">
        <f t="shared" si="49"/>
        <v>-</v>
      </c>
      <c r="K124" s="167" t="str">
        <f t="shared" si="50"/>
        <v>-</v>
      </c>
    </row>
    <row r="125" spans="2:11" x14ac:dyDescent="0.25">
      <c r="B125" s="161" t="s">
        <v>110</v>
      </c>
      <c r="C125" s="162" t="s">
        <v>328</v>
      </c>
      <c r="D125" s="162" t="s">
        <v>328</v>
      </c>
      <c r="E125" s="162" t="s">
        <v>328</v>
      </c>
      <c r="F125" s="162" t="s">
        <v>328</v>
      </c>
      <c r="G125" s="162" t="s">
        <v>328</v>
      </c>
      <c r="H125" s="162" t="s">
        <v>328</v>
      </c>
      <c r="I125" s="180" t="str">
        <f>IFERROR(H125/G125-1,"-")</f>
        <v>-</v>
      </c>
      <c r="J125" s="183" t="str">
        <f t="shared" si="49"/>
        <v>-</v>
      </c>
      <c r="K125" s="163" t="str">
        <f t="shared" si="50"/>
        <v>-</v>
      </c>
    </row>
    <row r="126" spans="2:11" x14ac:dyDescent="0.25">
      <c r="B126" s="165" t="s">
        <v>113</v>
      </c>
      <c r="C126" s="166" t="s">
        <v>328</v>
      </c>
      <c r="D126" s="166" t="s">
        <v>328</v>
      </c>
      <c r="E126" s="166" t="s">
        <v>328</v>
      </c>
      <c r="F126" s="166" t="s">
        <v>328</v>
      </c>
      <c r="G126" s="166" t="s">
        <v>328</v>
      </c>
      <c r="H126" s="166" t="s">
        <v>328</v>
      </c>
      <c r="I126" s="181" t="str">
        <f t="shared" ref="I126:I133" si="51">IFERROR(H126/G126-1,"-")</f>
        <v>-</v>
      </c>
      <c r="J126" s="184" t="str">
        <f t="shared" si="49"/>
        <v>-</v>
      </c>
      <c r="K126" s="167" t="str">
        <f t="shared" si="50"/>
        <v>-</v>
      </c>
    </row>
    <row r="127" spans="2:11" x14ac:dyDescent="0.25">
      <c r="B127" s="165" t="s">
        <v>116</v>
      </c>
      <c r="C127" s="166" t="s">
        <v>328</v>
      </c>
      <c r="D127" s="166" t="s">
        <v>328</v>
      </c>
      <c r="E127" s="166" t="s">
        <v>328</v>
      </c>
      <c r="F127" s="166" t="s">
        <v>328</v>
      </c>
      <c r="G127" s="166" t="s">
        <v>328</v>
      </c>
      <c r="H127" s="166" t="s">
        <v>328</v>
      </c>
      <c r="I127" s="181" t="str">
        <f t="shared" si="51"/>
        <v>-</v>
      </c>
      <c r="J127" s="184" t="str">
        <f t="shared" si="49"/>
        <v>-</v>
      </c>
      <c r="K127" s="167" t="str">
        <f t="shared" si="50"/>
        <v>-</v>
      </c>
    </row>
    <row r="128" spans="2:11" x14ac:dyDescent="0.25">
      <c r="B128" s="165" t="s">
        <v>119</v>
      </c>
      <c r="C128" s="166" t="s">
        <v>328</v>
      </c>
      <c r="D128" s="166" t="s">
        <v>328</v>
      </c>
      <c r="E128" s="166" t="s">
        <v>328</v>
      </c>
      <c r="F128" s="166" t="s">
        <v>328</v>
      </c>
      <c r="G128" s="166" t="s">
        <v>328</v>
      </c>
      <c r="H128" s="166" t="s">
        <v>328</v>
      </c>
      <c r="I128" s="181" t="str">
        <f t="shared" si="51"/>
        <v>-</v>
      </c>
      <c r="J128" s="184" t="str">
        <f t="shared" si="49"/>
        <v>-</v>
      </c>
      <c r="K128" s="167" t="str">
        <f t="shared" si="50"/>
        <v>-</v>
      </c>
    </row>
    <row r="129" spans="2:11" x14ac:dyDescent="0.25">
      <c r="B129" s="165" t="s">
        <v>126</v>
      </c>
      <c r="C129" s="166" t="s">
        <v>328</v>
      </c>
      <c r="D129" s="166" t="s">
        <v>328</v>
      </c>
      <c r="E129" s="166" t="s">
        <v>328</v>
      </c>
      <c r="F129" s="166" t="s">
        <v>328</v>
      </c>
      <c r="G129" s="166" t="s">
        <v>328</v>
      </c>
      <c r="H129" s="166" t="s">
        <v>328</v>
      </c>
      <c r="I129" s="181" t="str">
        <f t="shared" si="51"/>
        <v>-</v>
      </c>
      <c r="J129" s="184" t="str">
        <f t="shared" si="49"/>
        <v>-</v>
      </c>
      <c r="K129" s="167" t="str">
        <f t="shared" si="50"/>
        <v>-</v>
      </c>
    </row>
    <row r="130" spans="2:11" x14ac:dyDescent="0.25">
      <c r="B130" s="165" t="s">
        <v>122</v>
      </c>
      <c r="C130" s="166" t="s">
        <v>328</v>
      </c>
      <c r="D130" s="166" t="s">
        <v>328</v>
      </c>
      <c r="E130" s="166" t="s">
        <v>328</v>
      </c>
      <c r="F130" s="166" t="s">
        <v>328</v>
      </c>
      <c r="G130" s="166" t="s">
        <v>328</v>
      </c>
      <c r="H130" s="166" t="s">
        <v>328</v>
      </c>
      <c r="I130" s="181" t="str">
        <f t="shared" si="51"/>
        <v>-</v>
      </c>
      <c r="J130" s="184" t="str">
        <f t="shared" si="49"/>
        <v>-</v>
      </c>
      <c r="K130" s="167" t="str">
        <f t="shared" si="50"/>
        <v>-</v>
      </c>
    </row>
    <row r="131" spans="2:11" x14ac:dyDescent="0.25">
      <c r="B131" s="165" t="s">
        <v>131</v>
      </c>
      <c r="C131" s="166" t="s">
        <v>328</v>
      </c>
      <c r="D131" s="166" t="s">
        <v>328</v>
      </c>
      <c r="E131" s="166" t="s">
        <v>328</v>
      </c>
      <c r="F131" s="166" t="s">
        <v>328</v>
      </c>
      <c r="G131" s="166" t="s">
        <v>328</v>
      </c>
      <c r="H131" s="166" t="s">
        <v>328</v>
      </c>
      <c r="I131" s="181" t="str">
        <f t="shared" si="51"/>
        <v>-</v>
      </c>
      <c r="J131" s="184" t="str">
        <f t="shared" si="49"/>
        <v>-</v>
      </c>
      <c r="K131" s="167" t="str">
        <f t="shared" si="50"/>
        <v>-</v>
      </c>
    </row>
    <row r="132" spans="2:11" x14ac:dyDescent="0.25">
      <c r="B132" s="165" t="s">
        <v>134</v>
      </c>
      <c r="C132" s="166" t="s">
        <v>328</v>
      </c>
      <c r="D132" s="166" t="s">
        <v>328</v>
      </c>
      <c r="E132" s="166" t="s">
        <v>328</v>
      </c>
      <c r="F132" s="166" t="s">
        <v>328</v>
      </c>
      <c r="G132" s="166" t="s">
        <v>328</v>
      </c>
      <c r="H132" s="166" t="s">
        <v>328</v>
      </c>
      <c r="I132" s="181" t="str">
        <f t="shared" si="51"/>
        <v>-</v>
      </c>
      <c r="J132" s="184" t="str">
        <f t="shared" si="49"/>
        <v>-</v>
      </c>
      <c r="K132" s="167" t="str">
        <f t="shared" si="50"/>
        <v>-</v>
      </c>
    </row>
    <row r="133" spans="2:11" x14ac:dyDescent="0.25">
      <c r="B133" s="170" t="s">
        <v>148</v>
      </c>
      <c r="C133" s="171" t="str">
        <f t="shared" ref="C133:H133" si="52">IFERROR(C125-SUM(C126:C132),"nd")</f>
        <v>nd</v>
      </c>
      <c r="D133" s="171" t="str">
        <f t="shared" si="52"/>
        <v>nd</v>
      </c>
      <c r="E133" s="171" t="str">
        <f t="shared" si="52"/>
        <v>nd</v>
      </c>
      <c r="F133" s="171" t="str">
        <f t="shared" si="52"/>
        <v>nd</v>
      </c>
      <c r="G133" s="171" t="str">
        <f t="shared" si="52"/>
        <v>nd</v>
      </c>
      <c r="H133" s="171" t="str">
        <f t="shared" si="52"/>
        <v>nd</v>
      </c>
      <c r="I133" s="182" t="str">
        <f t="shared" si="51"/>
        <v>-</v>
      </c>
      <c r="J133" s="185" t="str">
        <f t="shared" si="49"/>
        <v>-</v>
      </c>
      <c r="K133" s="172" t="str">
        <f t="shared" si="50"/>
        <v>-</v>
      </c>
    </row>
    <row r="134" spans="2:11" x14ac:dyDescent="0.25">
      <c r="B134" s="157" t="s">
        <v>55</v>
      </c>
      <c r="C134" s="155"/>
      <c r="D134" s="155"/>
      <c r="E134" s="155"/>
      <c r="F134" s="155"/>
      <c r="G134" s="155"/>
      <c r="H134" s="155"/>
      <c r="I134" s="156"/>
      <c r="J134" s="156"/>
      <c r="K134" s="155"/>
    </row>
    <row r="135" spans="2:11" x14ac:dyDescent="0.25">
      <c r="B135" s="158" t="s">
        <v>71</v>
      </c>
      <c r="C135" s="178">
        <f t="shared" ref="C135:H135" si="53">IFERROR(C136+C139,"nd")</f>
        <v>18151</v>
      </c>
      <c r="D135" s="178">
        <f t="shared" si="53"/>
        <v>23756</v>
      </c>
      <c r="E135" s="178">
        <f t="shared" si="53"/>
        <v>45819</v>
      </c>
      <c r="F135" s="178">
        <f t="shared" si="53"/>
        <v>49548</v>
      </c>
      <c r="G135" s="178">
        <f t="shared" si="53"/>
        <v>51880</v>
      </c>
      <c r="H135" s="178">
        <f t="shared" si="53"/>
        <v>54887</v>
      </c>
      <c r="I135" s="179">
        <f>IFERROR(H135/G135-1,"-")</f>
        <v>5.796067848882025E-2</v>
      </c>
      <c r="J135" s="178">
        <f>IFERROR(H135-G135,"-")</f>
        <v>3007</v>
      </c>
      <c r="K135" s="179">
        <f>IFERROR(H135/H$9,"-")</f>
        <v>4.3824790265877475E-2</v>
      </c>
    </row>
    <row r="136" spans="2:11" x14ac:dyDescent="0.25">
      <c r="B136" s="161" t="s">
        <v>100</v>
      </c>
      <c r="C136" s="162">
        <v>3572</v>
      </c>
      <c r="D136" s="162">
        <v>7446</v>
      </c>
      <c r="E136" s="162">
        <v>7732</v>
      </c>
      <c r="F136" s="162">
        <v>8855</v>
      </c>
      <c r="G136" s="162">
        <v>7725</v>
      </c>
      <c r="H136" s="162">
        <v>9245</v>
      </c>
      <c r="I136" s="180">
        <f>IFERROR(H136/G136-1,"-")</f>
        <v>0.19676375404530755</v>
      </c>
      <c r="J136" s="183">
        <f t="shared" ref="J136:J147" si="54">IFERROR(H136-G136,"-")</f>
        <v>1520</v>
      </c>
      <c r="K136" s="163">
        <f t="shared" ref="K136:K147" si="55">IFERROR(H136/H$9,"-")</f>
        <v>7.3817149053152335E-3</v>
      </c>
    </row>
    <row r="137" spans="2:11" x14ac:dyDescent="0.25">
      <c r="B137" s="165" t="s">
        <v>106</v>
      </c>
      <c r="C137" s="166">
        <v>2986</v>
      </c>
      <c r="D137" s="166">
        <v>4671</v>
      </c>
      <c r="E137" s="166">
        <v>5264</v>
      </c>
      <c r="F137" s="166">
        <v>6100</v>
      </c>
      <c r="G137" s="166">
        <v>5354</v>
      </c>
      <c r="H137" s="166">
        <v>5076</v>
      </c>
      <c r="I137" s="181">
        <f>IFERROR(H137/G137-1,"-")</f>
        <v>-5.192379529323865E-2</v>
      </c>
      <c r="J137" s="184">
        <f t="shared" si="54"/>
        <v>-278</v>
      </c>
      <c r="K137" s="167">
        <f t="shared" si="55"/>
        <v>4.0529567181590183E-3</v>
      </c>
    </row>
    <row r="138" spans="2:11" x14ac:dyDescent="0.25">
      <c r="B138" s="165" t="s">
        <v>103</v>
      </c>
      <c r="C138" s="166">
        <v>586</v>
      </c>
      <c r="D138" s="166">
        <v>2775</v>
      </c>
      <c r="E138" s="166">
        <v>2468</v>
      </c>
      <c r="F138" s="166">
        <v>2755</v>
      </c>
      <c r="G138" s="166">
        <v>2371</v>
      </c>
      <c r="H138" s="166">
        <v>4169</v>
      </c>
      <c r="I138" s="181">
        <f>IFERROR(H138/G138-1,"-")</f>
        <v>0.75832981864192317</v>
      </c>
      <c r="J138" s="184">
        <f t="shared" si="54"/>
        <v>1798</v>
      </c>
      <c r="K138" s="167">
        <f t="shared" si="55"/>
        <v>3.3287581871562152E-3</v>
      </c>
    </row>
    <row r="139" spans="2:11" x14ac:dyDescent="0.25">
      <c r="B139" s="161" t="s">
        <v>110</v>
      </c>
      <c r="C139" s="162">
        <v>14579</v>
      </c>
      <c r="D139" s="162">
        <v>16310</v>
      </c>
      <c r="E139" s="162">
        <v>38087</v>
      </c>
      <c r="F139" s="162">
        <v>40693</v>
      </c>
      <c r="G139" s="162">
        <v>44155</v>
      </c>
      <c r="H139" s="162">
        <v>45642</v>
      </c>
      <c r="I139" s="180">
        <f>IFERROR(H139/G139-1,"-")</f>
        <v>3.3676820292152687E-2</v>
      </c>
      <c r="J139" s="183">
        <f t="shared" si="54"/>
        <v>1487</v>
      </c>
      <c r="K139" s="163">
        <f t="shared" si="55"/>
        <v>3.6443075360562238E-2</v>
      </c>
    </row>
    <row r="140" spans="2:11" x14ac:dyDescent="0.25">
      <c r="B140" s="165" t="s">
        <v>113</v>
      </c>
      <c r="C140" s="166">
        <v>7085</v>
      </c>
      <c r="D140" s="166">
        <v>4265</v>
      </c>
      <c r="E140" s="166">
        <v>14417</v>
      </c>
      <c r="F140" s="166">
        <v>16232</v>
      </c>
      <c r="G140" s="166">
        <v>18893</v>
      </c>
      <c r="H140" s="166">
        <v>20414</v>
      </c>
      <c r="I140" s="181">
        <f t="shared" ref="I140:I147" si="56">IFERROR(H140/G140-1,"-")</f>
        <v>8.0506007516011113E-2</v>
      </c>
      <c r="J140" s="184">
        <f t="shared" si="54"/>
        <v>1521</v>
      </c>
      <c r="K140" s="167">
        <f t="shared" si="55"/>
        <v>1.6299656903959459E-2</v>
      </c>
    </row>
    <row r="141" spans="2:11" x14ac:dyDescent="0.25">
      <c r="B141" s="165" t="s">
        <v>116</v>
      </c>
      <c r="C141" s="166">
        <v>795</v>
      </c>
      <c r="D141" s="166">
        <v>1596</v>
      </c>
      <c r="E141" s="166">
        <v>3069</v>
      </c>
      <c r="F141" s="166">
        <v>2724</v>
      </c>
      <c r="G141" s="166">
        <v>2851</v>
      </c>
      <c r="H141" s="166">
        <v>2968</v>
      </c>
      <c r="I141" s="181">
        <f t="shared" si="56"/>
        <v>4.1038232199228419E-2</v>
      </c>
      <c r="J141" s="184">
        <f t="shared" si="54"/>
        <v>117</v>
      </c>
      <c r="K141" s="167">
        <f t="shared" si="55"/>
        <v>2.3698139360709154E-3</v>
      </c>
    </row>
    <row r="142" spans="2:11" x14ac:dyDescent="0.25">
      <c r="B142" s="165" t="s">
        <v>119</v>
      </c>
      <c r="C142" s="166">
        <v>692</v>
      </c>
      <c r="D142" s="166">
        <v>2208</v>
      </c>
      <c r="E142" s="166">
        <v>3969</v>
      </c>
      <c r="F142" s="166">
        <v>4070</v>
      </c>
      <c r="G142" s="166">
        <v>4068</v>
      </c>
      <c r="H142" s="166">
        <v>4119</v>
      </c>
      <c r="I142" s="181">
        <f t="shared" si="56"/>
        <v>1.2536873156342221E-2</v>
      </c>
      <c r="J142" s="184">
        <f t="shared" si="54"/>
        <v>51</v>
      </c>
      <c r="K142" s="167">
        <f t="shared" si="55"/>
        <v>3.2888354456455868E-3</v>
      </c>
    </row>
    <row r="143" spans="2:11" x14ac:dyDescent="0.25">
      <c r="B143" s="165" t="s">
        <v>126</v>
      </c>
      <c r="C143" s="166">
        <v>427</v>
      </c>
      <c r="D143" s="166">
        <v>607</v>
      </c>
      <c r="E143" s="166">
        <v>1699</v>
      </c>
      <c r="F143" s="166">
        <v>1571</v>
      </c>
      <c r="G143" s="166">
        <v>1425</v>
      </c>
      <c r="H143" s="166">
        <v>1539</v>
      </c>
      <c r="I143" s="181">
        <f t="shared" si="56"/>
        <v>8.0000000000000071E-2</v>
      </c>
      <c r="J143" s="184">
        <f t="shared" si="54"/>
        <v>114</v>
      </c>
      <c r="K143" s="167">
        <f t="shared" si="55"/>
        <v>1.2288219836971493E-3</v>
      </c>
    </row>
    <row r="144" spans="2:11" x14ac:dyDescent="0.25">
      <c r="B144" s="165" t="s">
        <v>122</v>
      </c>
      <c r="C144" s="166">
        <v>242</v>
      </c>
      <c r="D144" s="166">
        <v>524</v>
      </c>
      <c r="E144" s="166">
        <v>881</v>
      </c>
      <c r="F144" s="166">
        <v>790</v>
      </c>
      <c r="G144" s="166">
        <v>841</v>
      </c>
      <c r="H144" s="166">
        <v>900</v>
      </c>
      <c r="I144" s="181">
        <f t="shared" si="56"/>
        <v>7.0154577883472014E-2</v>
      </c>
      <c r="J144" s="184">
        <f t="shared" si="54"/>
        <v>59</v>
      </c>
      <c r="K144" s="167">
        <f t="shared" si="55"/>
        <v>7.1860934719131535E-4</v>
      </c>
    </row>
    <row r="145" spans="2:11" x14ac:dyDescent="0.25">
      <c r="B145" s="165" t="s">
        <v>131</v>
      </c>
      <c r="C145" s="166">
        <v>382</v>
      </c>
      <c r="D145" s="166">
        <v>225</v>
      </c>
      <c r="E145" s="166">
        <v>419</v>
      </c>
      <c r="F145" s="166">
        <v>446</v>
      </c>
      <c r="G145" s="166">
        <v>338</v>
      </c>
      <c r="H145" s="166">
        <v>549</v>
      </c>
      <c r="I145" s="181">
        <f t="shared" si="56"/>
        <v>0.62426035502958577</v>
      </c>
      <c r="J145" s="184">
        <f t="shared" si="54"/>
        <v>211</v>
      </c>
      <c r="K145" s="167">
        <f t="shared" si="55"/>
        <v>4.3835170178670239E-4</v>
      </c>
    </row>
    <row r="146" spans="2:11" x14ac:dyDescent="0.25">
      <c r="B146" s="165" t="s">
        <v>134</v>
      </c>
      <c r="C146" s="166">
        <v>666</v>
      </c>
      <c r="D146" s="166">
        <v>157</v>
      </c>
      <c r="E146" s="166">
        <v>393</v>
      </c>
      <c r="F146" s="166">
        <v>580</v>
      </c>
      <c r="G146" s="166">
        <v>685</v>
      </c>
      <c r="H146" s="166">
        <v>587</v>
      </c>
      <c r="I146" s="181">
        <f t="shared" si="56"/>
        <v>-0.14306569343065689</v>
      </c>
      <c r="J146" s="184">
        <f t="shared" si="54"/>
        <v>-98</v>
      </c>
      <c r="K146" s="167">
        <f t="shared" si="55"/>
        <v>4.6869298533478012E-4</v>
      </c>
    </row>
    <row r="147" spans="2:11" x14ac:dyDescent="0.25">
      <c r="B147" s="170" t="s">
        <v>148</v>
      </c>
      <c r="C147" s="171">
        <f t="shared" ref="C147:H147" si="57">IFERROR(C139-SUM(C140:C146),"nd")</f>
        <v>4290</v>
      </c>
      <c r="D147" s="171">
        <f t="shared" si="57"/>
        <v>6728</v>
      </c>
      <c r="E147" s="171">
        <f t="shared" si="57"/>
        <v>13240</v>
      </c>
      <c r="F147" s="171">
        <f t="shared" si="57"/>
        <v>14280</v>
      </c>
      <c r="G147" s="171">
        <f t="shared" si="57"/>
        <v>15054</v>
      </c>
      <c r="H147" s="171">
        <f t="shared" si="57"/>
        <v>14566</v>
      </c>
      <c r="I147" s="182">
        <f t="shared" si="56"/>
        <v>-3.241663345290291E-2</v>
      </c>
      <c r="J147" s="185">
        <f t="shared" si="54"/>
        <v>-488</v>
      </c>
      <c r="K147" s="172">
        <f t="shared" si="55"/>
        <v>1.1630293056876333E-2</v>
      </c>
    </row>
    <row r="148" spans="2:11" x14ac:dyDescent="0.25">
      <c r="B148" s="157" t="s">
        <v>56</v>
      </c>
      <c r="C148" s="155"/>
      <c r="D148" s="155"/>
      <c r="E148" s="155"/>
      <c r="F148" s="155"/>
      <c r="G148" s="155"/>
      <c r="H148" s="155"/>
      <c r="I148" s="156"/>
      <c r="J148" s="156"/>
      <c r="K148" s="155"/>
    </row>
    <row r="149" spans="2:11" x14ac:dyDescent="0.25">
      <c r="B149" s="158" t="s">
        <v>71</v>
      </c>
      <c r="C149" s="178">
        <f t="shared" ref="C149:H149" si="58">IFERROR(C150+C153,"nd")</f>
        <v>2333</v>
      </c>
      <c r="D149" s="178">
        <f t="shared" si="58"/>
        <v>9455</v>
      </c>
      <c r="E149" s="178">
        <f t="shared" si="58"/>
        <v>12976</v>
      </c>
      <c r="F149" s="178">
        <f t="shared" si="58"/>
        <v>18335</v>
      </c>
      <c r="G149" s="178">
        <f t="shared" si="58"/>
        <v>51560</v>
      </c>
      <c r="H149" s="178">
        <f t="shared" si="58"/>
        <v>49387</v>
      </c>
      <c r="I149" s="179">
        <f>IFERROR(H149/G149-1,"-")</f>
        <v>-4.2145073700543101E-2</v>
      </c>
      <c r="J149" s="178">
        <f>IFERROR(H149-G149,"-")</f>
        <v>-2173</v>
      </c>
      <c r="K149" s="179">
        <f>IFERROR(H149/H$9,"-")</f>
        <v>3.9433288699708323E-2</v>
      </c>
    </row>
    <row r="150" spans="2:11" x14ac:dyDescent="0.25">
      <c r="B150" s="161" t="s">
        <v>100</v>
      </c>
      <c r="C150" s="162">
        <v>453</v>
      </c>
      <c r="D150" s="162">
        <v>762</v>
      </c>
      <c r="E150" s="162">
        <v>2558</v>
      </c>
      <c r="F150" s="162">
        <v>4547</v>
      </c>
      <c r="G150" s="162">
        <v>5833</v>
      </c>
      <c r="H150" s="162">
        <v>6493</v>
      </c>
      <c r="I150" s="180">
        <f>IFERROR(H150/G150-1,"-")</f>
        <v>0.11314932281844681</v>
      </c>
      <c r="J150" s="183">
        <f t="shared" ref="J150:J161" si="59">IFERROR(H150-G150,"-")</f>
        <v>660</v>
      </c>
      <c r="K150" s="163">
        <f t="shared" ref="K150:K161" si="60">IFERROR(H150/H$9,"-")</f>
        <v>5.1843672125702345E-3</v>
      </c>
    </row>
    <row r="151" spans="2:11" x14ac:dyDescent="0.25">
      <c r="B151" s="165" t="s">
        <v>106</v>
      </c>
      <c r="C151" s="166">
        <v>308</v>
      </c>
      <c r="D151" s="166">
        <v>426</v>
      </c>
      <c r="E151" s="166">
        <v>797</v>
      </c>
      <c r="F151" s="166">
        <v>2217</v>
      </c>
      <c r="G151" s="166">
        <v>3827</v>
      </c>
      <c r="H151" s="166">
        <v>3600</v>
      </c>
      <c r="I151" s="181">
        <f>IFERROR(H151/G151-1,"-")</f>
        <v>-5.9315390645414134E-2</v>
      </c>
      <c r="J151" s="184">
        <f t="shared" si="59"/>
        <v>-227</v>
      </c>
      <c r="K151" s="167">
        <f t="shared" si="60"/>
        <v>2.8744373887652614E-3</v>
      </c>
    </row>
    <row r="152" spans="2:11" x14ac:dyDescent="0.25">
      <c r="B152" s="165" t="s">
        <v>103</v>
      </c>
      <c r="C152" s="166">
        <v>145</v>
      </c>
      <c r="D152" s="166">
        <v>336</v>
      </c>
      <c r="E152" s="166">
        <v>1761</v>
      </c>
      <c r="F152" s="166">
        <v>2330</v>
      </c>
      <c r="G152" s="166">
        <v>2006</v>
      </c>
      <c r="H152" s="166">
        <v>2893</v>
      </c>
      <c r="I152" s="181">
        <f>IFERROR(H152/G152-1,"-")</f>
        <v>0.44217347956131614</v>
      </c>
      <c r="J152" s="184">
        <f t="shared" si="59"/>
        <v>887</v>
      </c>
      <c r="K152" s="167">
        <f t="shared" si="60"/>
        <v>2.3099298238049727E-3</v>
      </c>
    </row>
    <row r="153" spans="2:11" x14ac:dyDescent="0.25">
      <c r="B153" s="161" t="s">
        <v>110</v>
      </c>
      <c r="C153" s="162">
        <v>1880</v>
      </c>
      <c r="D153" s="162">
        <v>8693</v>
      </c>
      <c r="E153" s="162">
        <v>10418</v>
      </c>
      <c r="F153" s="162">
        <v>13788</v>
      </c>
      <c r="G153" s="162">
        <v>45727</v>
      </c>
      <c r="H153" s="162">
        <v>42894</v>
      </c>
      <c r="I153" s="180">
        <f>IFERROR(H153/G153-1,"-")</f>
        <v>-6.1954643864675085E-2</v>
      </c>
      <c r="J153" s="183">
        <f t="shared" si="59"/>
        <v>-2833</v>
      </c>
      <c r="K153" s="163">
        <f t="shared" si="60"/>
        <v>3.4248921487138088E-2</v>
      </c>
    </row>
    <row r="154" spans="2:11" x14ac:dyDescent="0.25">
      <c r="B154" s="165" t="s">
        <v>113</v>
      </c>
      <c r="C154" s="166">
        <v>328</v>
      </c>
      <c r="D154" s="166">
        <v>4726</v>
      </c>
      <c r="E154" s="166">
        <v>3339</v>
      </c>
      <c r="F154" s="166">
        <v>2602</v>
      </c>
      <c r="G154" s="166">
        <v>28286</v>
      </c>
      <c r="H154" s="166">
        <v>27113</v>
      </c>
      <c r="I154" s="181">
        <f t="shared" ref="I154:I161" si="61">IFERROR(H154/G154-1,"-")</f>
        <v>-4.1469278088100081E-2</v>
      </c>
      <c r="J154" s="184">
        <f t="shared" si="59"/>
        <v>-1173</v>
      </c>
      <c r="K154" s="167">
        <f t="shared" si="60"/>
        <v>2.1648505811553483E-2</v>
      </c>
    </row>
    <row r="155" spans="2:11" x14ac:dyDescent="0.25">
      <c r="B155" s="165" t="s">
        <v>116</v>
      </c>
      <c r="C155" s="166">
        <v>509</v>
      </c>
      <c r="D155" s="166">
        <v>660</v>
      </c>
      <c r="E155" s="166">
        <v>2188</v>
      </c>
      <c r="F155" s="166">
        <v>3267</v>
      </c>
      <c r="G155" s="166">
        <v>3764</v>
      </c>
      <c r="H155" s="166">
        <v>2705</v>
      </c>
      <c r="I155" s="181">
        <f t="shared" si="61"/>
        <v>-0.28134962805526031</v>
      </c>
      <c r="J155" s="184">
        <f t="shared" si="59"/>
        <v>-1059</v>
      </c>
      <c r="K155" s="167">
        <f t="shared" si="60"/>
        <v>2.1598203157250089E-3</v>
      </c>
    </row>
    <row r="156" spans="2:11" x14ac:dyDescent="0.25">
      <c r="B156" s="165" t="s">
        <v>119</v>
      </c>
      <c r="C156" s="166">
        <v>77</v>
      </c>
      <c r="D156" s="166">
        <v>129</v>
      </c>
      <c r="E156" s="166">
        <v>550</v>
      </c>
      <c r="F156" s="166">
        <v>1361</v>
      </c>
      <c r="G156" s="166">
        <v>1200</v>
      </c>
      <c r="H156" s="166">
        <v>1415</v>
      </c>
      <c r="I156" s="181">
        <f t="shared" si="61"/>
        <v>0.1791666666666667</v>
      </c>
      <c r="J156" s="184">
        <f t="shared" si="59"/>
        <v>215</v>
      </c>
      <c r="K156" s="167">
        <f t="shared" si="60"/>
        <v>1.1298135847507902E-3</v>
      </c>
    </row>
    <row r="157" spans="2:11" x14ac:dyDescent="0.25">
      <c r="B157" s="165" t="s">
        <v>126</v>
      </c>
      <c r="C157" s="166">
        <v>31</v>
      </c>
      <c r="D157" s="166">
        <v>2132</v>
      </c>
      <c r="E157" s="166">
        <v>1001</v>
      </c>
      <c r="F157" s="166">
        <v>998</v>
      </c>
      <c r="G157" s="166">
        <v>3135</v>
      </c>
      <c r="H157" s="166">
        <v>3683</v>
      </c>
      <c r="I157" s="181">
        <f t="shared" si="61"/>
        <v>0.17480063795853273</v>
      </c>
      <c r="J157" s="184">
        <f t="shared" si="59"/>
        <v>548</v>
      </c>
      <c r="K157" s="167">
        <f t="shared" si="60"/>
        <v>2.9407091396729049E-3</v>
      </c>
    </row>
    <row r="158" spans="2:11" x14ac:dyDescent="0.25">
      <c r="B158" s="165" t="s">
        <v>122</v>
      </c>
      <c r="C158" s="166">
        <v>68</v>
      </c>
      <c r="D158" s="166">
        <v>33</v>
      </c>
      <c r="E158" s="166">
        <v>411</v>
      </c>
      <c r="F158" s="166">
        <v>615</v>
      </c>
      <c r="G158" s="166">
        <v>542</v>
      </c>
      <c r="H158" s="166">
        <v>202</v>
      </c>
      <c r="I158" s="181">
        <f t="shared" si="61"/>
        <v>-0.62730627306273057</v>
      </c>
      <c r="J158" s="184">
        <f t="shared" si="59"/>
        <v>-340</v>
      </c>
      <c r="K158" s="167">
        <f t="shared" si="60"/>
        <v>1.6128787570293966E-4</v>
      </c>
    </row>
    <row r="159" spans="2:11" x14ac:dyDescent="0.25">
      <c r="B159" s="165" t="s">
        <v>131</v>
      </c>
      <c r="C159" s="166">
        <v>154</v>
      </c>
      <c r="D159" s="166">
        <v>184</v>
      </c>
      <c r="E159" s="166">
        <v>215</v>
      </c>
      <c r="F159" s="166">
        <v>285</v>
      </c>
      <c r="G159" s="166">
        <v>996</v>
      </c>
      <c r="H159" s="166">
        <v>1259</v>
      </c>
      <c r="I159" s="181">
        <f t="shared" si="61"/>
        <v>0.26405622489959835</v>
      </c>
      <c r="J159" s="184">
        <f t="shared" si="59"/>
        <v>263</v>
      </c>
      <c r="K159" s="167">
        <f t="shared" si="60"/>
        <v>1.0052546312376289E-3</v>
      </c>
    </row>
    <row r="160" spans="2:11" x14ac:dyDescent="0.25">
      <c r="B160" s="165" t="s">
        <v>134</v>
      </c>
      <c r="C160" s="166">
        <v>161</v>
      </c>
      <c r="D160" s="166">
        <v>217</v>
      </c>
      <c r="E160" s="166">
        <v>170</v>
      </c>
      <c r="F160" s="166">
        <v>198</v>
      </c>
      <c r="G160" s="166">
        <v>2721</v>
      </c>
      <c r="H160" s="166">
        <v>2463</v>
      </c>
      <c r="I160" s="181">
        <f t="shared" si="61"/>
        <v>-9.4818081587651593E-2</v>
      </c>
      <c r="J160" s="184">
        <f t="shared" si="59"/>
        <v>-258</v>
      </c>
      <c r="K160" s="167">
        <f t="shared" si="60"/>
        <v>1.9665942468135664E-3</v>
      </c>
    </row>
    <row r="161" spans="2:11" x14ac:dyDescent="0.25">
      <c r="B161" s="170" t="s">
        <v>148</v>
      </c>
      <c r="C161" s="171">
        <f t="shared" ref="C161:H161" si="62">IFERROR(C153-SUM(C154:C160),"nd")</f>
        <v>552</v>
      </c>
      <c r="D161" s="171">
        <f t="shared" si="62"/>
        <v>612</v>
      </c>
      <c r="E161" s="171">
        <f t="shared" si="62"/>
        <v>2544</v>
      </c>
      <c r="F161" s="171">
        <f t="shared" si="62"/>
        <v>4462</v>
      </c>
      <c r="G161" s="171">
        <f t="shared" si="62"/>
        <v>5083</v>
      </c>
      <c r="H161" s="171">
        <f t="shared" si="62"/>
        <v>4054</v>
      </c>
      <c r="I161" s="182">
        <f t="shared" si="61"/>
        <v>-0.20243950422978552</v>
      </c>
      <c r="J161" s="185">
        <f t="shared" si="59"/>
        <v>-1029</v>
      </c>
      <c r="K161" s="172">
        <f t="shared" si="60"/>
        <v>3.2369358816817695E-3</v>
      </c>
    </row>
    <row r="162" spans="2:11" x14ac:dyDescent="0.25">
      <c r="C162" s="81"/>
      <c r="D162" s="81"/>
      <c r="E162" s="81"/>
      <c r="F162" s="81"/>
      <c r="G162" s="81"/>
      <c r="H162" s="81"/>
      <c r="I162" s="81"/>
    </row>
    <row r="163" spans="2:11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</row>
  </sheetData>
  <mergeCells count="3">
    <mergeCell ref="B4:I4"/>
    <mergeCell ref="C6:K6"/>
    <mergeCell ref="O6:W6"/>
  </mergeCells>
  <pageMargins left="0.25" right="0.25" top="0.75" bottom="0.75" header="0.3" footer="0.3"/>
  <pageSetup paperSize="9" scale="8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CA23-170C-4E56-83F2-6DDF838E6D0D}">
  <sheetPr>
    <tabColor theme="7" tint="0.79998168889431442"/>
    <pageSetUpPr fitToPage="1"/>
  </sheetPr>
  <dimension ref="A1:Y163"/>
  <sheetViews>
    <sheetView showGridLines="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6" width="11.7109375" customWidth="1"/>
    <col min="7" max="8" width="11" customWidth="1"/>
    <col min="9" max="10" width="10.5703125" customWidth="1"/>
    <col min="11" max="14" width="11.7109375" customWidth="1"/>
    <col min="15" max="16" width="11" customWidth="1"/>
    <col min="17" max="18" width="10.5703125" customWidth="1"/>
    <col min="19" max="21" width="11.7109375" customWidth="1"/>
    <col min="22" max="23" width="11" customWidth="1"/>
    <col min="24" max="25" width="10.5703125" customWidth="1"/>
  </cols>
  <sheetData>
    <row r="1" spans="1:25" ht="42.75" customHeight="1" x14ac:dyDescent="0.25"/>
    <row r="3" spans="1:25" ht="42" customHeight="1" thickBot="1" x14ac:dyDescent="0.3">
      <c r="B3" s="145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</row>
    <row r="4" spans="1:25" ht="6" customHeight="1" x14ac:dyDescent="0.25"/>
    <row r="5" spans="1:25" ht="15.75" x14ac:dyDescent="0.25">
      <c r="B5" s="186"/>
      <c r="C5" s="313" t="s">
        <v>65</v>
      </c>
      <c r="D5" s="314"/>
      <c r="E5" s="314"/>
      <c r="F5" s="314"/>
      <c r="G5" s="314"/>
      <c r="H5" s="314"/>
      <c r="I5" s="314"/>
      <c r="J5" s="314"/>
      <c r="K5" s="313" t="s">
        <v>64</v>
      </c>
      <c r="L5" s="314"/>
      <c r="M5" s="314"/>
      <c r="N5" s="314"/>
      <c r="O5" s="314"/>
      <c r="P5" s="314"/>
      <c r="Q5" s="314"/>
      <c r="R5" s="314"/>
      <c r="S5" s="313" t="s">
        <v>140</v>
      </c>
      <c r="T5" s="314"/>
      <c r="U5" s="314"/>
      <c r="V5" s="314"/>
      <c r="W5" s="314"/>
      <c r="X5" s="314"/>
      <c r="Y5" s="314"/>
    </row>
    <row r="6" spans="1:25" s="148" customFormat="1" ht="72" customHeight="1" x14ac:dyDescent="0.25">
      <c r="B6" s="149"/>
      <c r="C6" s="174" t="s">
        <v>267</v>
      </c>
      <c r="D6" s="174" t="s">
        <v>268</v>
      </c>
      <c r="E6" s="174" t="s">
        <v>269</v>
      </c>
      <c r="F6" s="174" t="s">
        <v>270</v>
      </c>
      <c r="G6" s="174" t="s">
        <v>271</v>
      </c>
      <c r="H6" s="174" t="s">
        <v>272</v>
      </c>
      <c r="I6" s="175" t="str">
        <f>CONCATENATE("var. ",RIGHT(H6,2),"/",RIGHT(G6,2))</f>
        <v>var. 25/24</v>
      </c>
      <c r="J6" s="175" t="str">
        <f>CONCATENATE("Cuota s/ total lugares de residencia ",RIGHT(H6,4))</f>
        <v>Cuota s/ total lugares de residencia 2025</v>
      </c>
      <c r="K6" s="174" t="s">
        <v>267</v>
      </c>
      <c r="L6" s="174" t="s">
        <v>268</v>
      </c>
      <c r="M6" s="174" t="s">
        <v>269</v>
      </c>
      <c r="N6" s="174" t="s">
        <v>270</v>
      </c>
      <c r="O6" s="174" t="s">
        <v>271</v>
      </c>
      <c r="P6" s="174" t="s">
        <v>272</v>
      </c>
      <c r="Q6" s="175" t="str">
        <f>CONCATENATE("var. ",RIGHT(P6,2),"/",RIGHT(O6,2))</f>
        <v>var. 25/24</v>
      </c>
      <c r="R6" s="175" t="str">
        <f>CONCATENATE("Cuota s/ total lugares de residencia ",RIGHT(P6,4))</f>
        <v>Cuota s/ total lugares de residencia 2025</v>
      </c>
      <c r="S6" s="174" t="s">
        <v>267</v>
      </c>
      <c r="T6" s="174" t="s">
        <v>269</v>
      </c>
      <c r="U6" s="174" t="s">
        <v>270</v>
      </c>
      <c r="V6" s="174" t="s">
        <v>271</v>
      </c>
      <c r="W6" s="174" t="s">
        <v>272</v>
      </c>
      <c r="X6" s="175" t="str">
        <f>CONCATENATE("var. ",RIGHT(W6,2),"/",RIGHT(V6,2))</f>
        <v>var. 25/24</v>
      </c>
      <c r="Y6" s="175" t="str">
        <f>CONCATENATE("Cuota s/ total lugares de residencia ",RIGHT(W6,4))</f>
        <v>Cuota s/ total lugares de residencia 2025</v>
      </c>
    </row>
    <row r="7" spans="1:25" x14ac:dyDescent="0.25">
      <c r="A7" s="1"/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</row>
    <row r="8" spans="1:25" x14ac:dyDescent="0.25">
      <c r="A8" s="1"/>
      <c r="B8" s="158" t="s">
        <v>71</v>
      </c>
      <c r="C8" s="178">
        <f t="shared" ref="C8:H8" si="0">C9+C12</f>
        <v>243211</v>
      </c>
      <c r="D8" s="178">
        <f t="shared" si="0"/>
        <v>332855</v>
      </c>
      <c r="E8" s="178">
        <f t="shared" si="0"/>
        <v>672483</v>
      </c>
      <c r="F8" s="178">
        <f t="shared" si="0"/>
        <v>740673</v>
      </c>
      <c r="G8" s="178">
        <f t="shared" si="0"/>
        <v>759850</v>
      </c>
      <c r="H8" s="178">
        <f t="shared" si="0"/>
        <v>760112</v>
      </c>
      <c r="I8" s="179">
        <f>IFERROR(H8/G8-1,"-")</f>
        <v>3.4480489570309913E-4</v>
      </c>
      <c r="J8" s="179">
        <f t="shared" ref="J8:J20" si="1">H8/H$8</f>
        <v>1</v>
      </c>
      <c r="K8" s="178">
        <f t="shared" ref="K8:P8" si="2">K9+K12</f>
        <v>952608</v>
      </c>
      <c r="L8" s="178">
        <f t="shared" si="2"/>
        <v>1525176</v>
      </c>
      <c r="M8" s="178">
        <f t="shared" si="2"/>
        <v>3104390</v>
      </c>
      <c r="N8" s="178">
        <f t="shared" si="2"/>
        <v>3348191</v>
      </c>
      <c r="O8" s="178">
        <f t="shared" si="2"/>
        <v>3522695</v>
      </c>
      <c r="P8" s="178">
        <f t="shared" si="2"/>
        <v>3438737</v>
      </c>
      <c r="Q8" s="179">
        <f>IFERROR(P8/O8-1,"-")</f>
        <v>-2.3833457054896923E-2</v>
      </c>
      <c r="R8" s="179">
        <f t="shared" ref="R8:R20" si="3">P8/P$8</f>
        <v>1</v>
      </c>
      <c r="S8" s="178">
        <f>S9+S12</f>
        <v>1195819</v>
      </c>
      <c r="T8" s="178">
        <f>T9+T12</f>
        <v>3776873</v>
      </c>
      <c r="U8" s="178">
        <f>U9+U12</f>
        <v>4088864</v>
      </c>
      <c r="V8" s="178">
        <f>V9+V12</f>
        <v>4282545</v>
      </c>
      <c r="W8" s="178">
        <f>W9+W12</f>
        <v>4198849</v>
      </c>
      <c r="X8" s="179">
        <f>IFERROR(W8/V8-1,"-")</f>
        <v>-1.9543519099040396E-2</v>
      </c>
      <c r="Y8" s="179">
        <f>W8/W$8</f>
        <v>1</v>
      </c>
    </row>
    <row r="9" spans="1:25" x14ac:dyDescent="0.25">
      <c r="A9" s="1"/>
      <c r="B9" s="161" t="s">
        <v>100</v>
      </c>
      <c r="C9" s="162">
        <v>78725</v>
      </c>
      <c r="D9" s="162">
        <v>119848</v>
      </c>
      <c r="E9" s="162">
        <v>173672</v>
      </c>
      <c r="F9" s="162">
        <v>208983</v>
      </c>
      <c r="G9" s="162">
        <v>212833</v>
      </c>
      <c r="H9" s="162">
        <v>203770</v>
      </c>
      <c r="I9" s="163">
        <f>IFERROR(H9/G9-1,"-")</f>
        <v>-4.2582682196839805E-2</v>
      </c>
      <c r="J9" s="163">
        <f t="shared" si="1"/>
        <v>0.26807891468625678</v>
      </c>
      <c r="K9" s="162">
        <v>294316</v>
      </c>
      <c r="L9" s="162">
        <v>549418</v>
      </c>
      <c r="M9" s="162">
        <v>688398</v>
      </c>
      <c r="N9" s="162">
        <v>673764</v>
      </c>
      <c r="O9" s="162">
        <v>676348</v>
      </c>
      <c r="P9" s="162">
        <v>678164</v>
      </c>
      <c r="Q9" s="163">
        <f>IFERROR(P9/O9-1,"-")</f>
        <v>2.6850083093319377E-3</v>
      </c>
      <c r="R9" s="163">
        <f t="shared" si="3"/>
        <v>0.19721310469512499</v>
      </c>
      <c r="S9" s="162">
        <v>373041</v>
      </c>
      <c r="T9" s="162">
        <v>862070</v>
      </c>
      <c r="U9" s="162">
        <v>882747</v>
      </c>
      <c r="V9" s="162">
        <v>889181</v>
      </c>
      <c r="W9" s="162">
        <v>881934</v>
      </c>
      <c r="X9" s="163">
        <f>IFERROR(W9/V9-1,"-")</f>
        <v>-8.1501966416286376E-3</v>
      </c>
      <c r="Y9" s="163">
        <f>W9/W$8</f>
        <v>0.21004184718240643</v>
      </c>
    </row>
    <row r="10" spans="1:25" x14ac:dyDescent="0.25">
      <c r="A10" s="164"/>
      <c r="B10" s="165" t="s">
        <v>106</v>
      </c>
      <c r="C10" s="166">
        <v>38075</v>
      </c>
      <c r="D10" s="166">
        <v>76913</v>
      </c>
      <c r="E10" s="166">
        <v>97401</v>
      </c>
      <c r="F10" s="166">
        <v>119374</v>
      </c>
      <c r="G10" s="166">
        <v>118341</v>
      </c>
      <c r="H10" s="166">
        <v>108798</v>
      </c>
      <c r="I10" s="167">
        <f>IFERROR(H10/G10-1,"-")</f>
        <v>-8.0639845869140858E-2</v>
      </c>
      <c r="J10" s="167">
        <f t="shared" si="1"/>
        <v>0.14313416970130718</v>
      </c>
      <c r="K10" s="166">
        <v>110675</v>
      </c>
      <c r="L10" s="166">
        <v>248239</v>
      </c>
      <c r="M10" s="166">
        <v>235468</v>
      </c>
      <c r="N10" s="166">
        <v>222224</v>
      </c>
      <c r="O10" s="166">
        <v>221054</v>
      </c>
      <c r="P10" s="166">
        <v>232464</v>
      </c>
      <c r="Q10" s="167">
        <f>IFERROR(P10/O10-1,"-")</f>
        <v>5.1616347136898666E-2</v>
      </c>
      <c r="R10" s="167">
        <f t="shared" si="3"/>
        <v>6.7601564178941281E-2</v>
      </c>
      <c r="S10" s="166">
        <v>148750</v>
      </c>
      <c r="T10" s="166">
        <v>332869</v>
      </c>
      <c r="U10" s="166">
        <v>341598</v>
      </c>
      <c r="V10" s="166">
        <v>339395</v>
      </c>
      <c r="W10" s="166">
        <v>341262</v>
      </c>
      <c r="X10" s="167">
        <f>IFERROR(W10/V10-1,"-")</f>
        <v>5.5009649523416471E-3</v>
      </c>
      <c r="Y10" s="167">
        <f>W10/W$8</f>
        <v>8.1275130398830733E-2</v>
      </c>
    </row>
    <row r="11" spans="1:25" x14ac:dyDescent="0.25">
      <c r="A11" s="164"/>
      <c r="B11" s="165" t="s">
        <v>103</v>
      </c>
      <c r="C11" s="166">
        <v>40650</v>
      </c>
      <c r="D11" s="166">
        <v>42935</v>
      </c>
      <c r="E11" s="166">
        <v>76271</v>
      </c>
      <c r="F11" s="166">
        <v>89609</v>
      </c>
      <c r="G11" s="166">
        <v>94492</v>
      </c>
      <c r="H11" s="166">
        <v>94972</v>
      </c>
      <c r="I11" s="167">
        <f>IFERROR(H11/G11-1,"-")</f>
        <v>5.0797951149303966E-3</v>
      </c>
      <c r="J11" s="167">
        <f t="shared" si="1"/>
        <v>0.12494474498494959</v>
      </c>
      <c r="K11" s="166">
        <v>183641</v>
      </c>
      <c r="L11" s="166">
        <v>301179</v>
      </c>
      <c r="M11" s="166">
        <v>452930</v>
      </c>
      <c r="N11" s="166">
        <v>451540</v>
      </c>
      <c r="O11" s="166">
        <v>455294</v>
      </c>
      <c r="P11" s="166">
        <v>445700</v>
      </c>
      <c r="Q11" s="167">
        <f>IFERROR(P11/O11-1,"-")</f>
        <v>-2.1072098468242539E-2</v>
      </c>
      <c r="R11" s="167">
        <f t="shared" si="3"/>
        <v>0.1296115405161837</v>
      </c>
      <c r="S11" s="166">
        <v>224291</v>
      </c>
      <c r="T11" s="166">
        <v>529201</v>
      </c>
      <c r="U11" s="166">
        <v>541149</v>
      </c>
      <c r="V11" s="166">
        <v>549786</v>
      </c>
      <c r="W11" s="166">
        <v>540672</v>
      </c>
      <c r="X11" s="167">
        <f>IFERROR(W11/V11-1,"-")</f>
        <v>-1.657735919066694E-2</v>
      </c>
      <c r="Y11" s="167">
        <f>W11/W$8</f>
        <v>0.12876671678357568</v>
      </c>
    </row>
    <row r="12" spans="1:25" x14ac:dyDescent="0.25">
      <c r="A12" s="1"/>
      <c r="B12" s="161" t="s">
        <v>110</v>
      </c>
      <c r="C12" s="162">
        <v>164486</v>
      </c>
      <c r="D12" s="162">
        <v>213007</v>
      </c>
      <c r="E12" s="162">
        <v>498811</v>
      </c>
      <c r="F12" s="162">
        <v>531690</v>
      </c>
      <c r="G12" s="162">
        <v>547017</v>
      </c>
      <c r="H12" s="162">
        <v>556342</v>
      </c>
      <c r="I12" s="163">
        <f>IFERROR(H12/G12-1,"-")</f>
        <v>1.7047002195544225E-2</v>
      </c>
      <c r="J12" s="163">
        <f t="shared" si="1"/>
        <v>0.73192108531374322</v>
      </c>
      <c r="K12" s="162">
        <v>658292</v>
      </c>
      <c r="L12" s="162">
        <v>975758</v>
      </c>
      <c r="M12" s="162">
        <v>2415992</v>
      </c>
      <c r="N12" s="162">
        <v>2674427</v>
      </c>
      <c r="O12" s="162">
        <v>2846347</v>
      </c>
      <c r="P12" s="162">
        <v>2760573</v>
      </c>
      <c r="Q12" s="163">
        <f>IFERROR(P12/O12-1,"-")</f>
        <v>-3.0134765719007528E-2</v>
      </c>
      <c r="R12" s="163">
        <f t="shared" si="3"/>
        <v>0.80278689530487501</v>
      </c>
      <c r="S12" s="162">
        <v>822778</v>
      </c>
      <c r="T12" s="162">
        <v>2914803</v>
      </c>
      <c r="U12" s="162">
        <v>3206117</v>
      </c>
      <c r="V12" s="162">
        <v>3393364</v>
      </c>
      <c r="W12" s="162">
        <v>3316915</v>
      </c>
      <c r="X12" s="163">
        <f>IFERROR(W12/V12-1,"-")</f>
        <v>-2.2528971250947438E-2</v>
      </c>
      <c r="Y12" s="163">
        <f>W12/W$8</f>
        <v>0.78995815281759363</v>
      </c>
    </row>
    <row r="13" spans="1:25" s="58" customFormat="1" x14ac:dyDescent="0.25">
      <c r="B13" s="165" t="s">
        <v>113</v>
      </c>
      <c r="C13" s="166">
        <v>55957</v>
      </c>
      <c r="D13" s="166">
        <v>51463</v>
      </c>
      <c r="E13" s="166">
        <v>185404</v>
      </c>
      <c r="F13" s="166">
        <v>205697</v>
      </c>
      <c r="G13" s="166">
        <v>204584</v>
      </c>
      <c r="H13" s="166">
        <v>197758</v>
      </c>
      <c r="I13" s="167">
        <f t="shared" ref="I13:I20" si="4">IFERROR(H13/G13-1,"-")</f>
        <v>-3.3365268056152919E-2</v>
      </c>
      <c r="J13" s="167">
        <f t="shared" si="1"/>
        <v>0.26016955396046898</v>
      </c>
      <c r="K13" s="166">
        <v>260391</v>
      </c>
      <c r="L13" s="166">
        <v>284717</v>
      </c>
      <c r="M13" s="166">
        <v>1132692</v>
      </c>
      <c r="N13" s="166">
        <v>1254292</v>
      </c>
      <c r="O13" s="166">
        <v>1327743</v>
      </c>
      <c r="P13" s="166">
        <v>1294002</v>
      </c>
      <c r="Q13" s="167">
        <f t="shared" ref="Q13:Q20" si="5">IFERROR(P13/O13-1,"-")</f>
        <v>-2.5412297409965645E-2</v>
      </c>
      <c r="R13" s="167">
        <f t="shared" si="3"/>
        <v>0.37630153163792401</v>
      </c>
      <c r="S13" s="166">
        <v>316348</v>
      </c>
      <c r="T13" s="166">
        <v>1318096</v>
      </c>
      <c r="U13" s="166">
        <v>1459989</v>
      </c>
      <c r="V13" s="166">
        <v>1532327</v>
      </c>
      <c r="W13" s="166">
        <v>1491760</v>
      </c>
      <c r="X13" s="167">
        <f t="shared" ref="X13:X20" si="6">IFERROR(W13/V13-1,"-")</f>
        <v>-2.6474114206693433E-2</v>
      </c>
      <c r="Y13" s="167">
        <f t="shared" ref="Y13:Y20" si="7">W13/W$8</f>
        <v>0.35527831555743017</v>
      </c>
    </row>
    <row r="14" spans="1:25" s="58" customFormat="1" x14ac:dyDescent="0.25">
      <c r="B14" s="165" t="s">
        <v>116</v>
      </c>
      <c r="C14" s="166">
        <v>24151</v>
      </c>
      <c r="D14" s="166">
        <v>38221</v>
      </c>
      <c r="E14" s="166">
        <v>64721</v>
      </c>
      <c r="F14" s="166">
        <v>72602</v>
      </c>
      <c r="G14" s="166">
        <v>73311</v>
      </c>
      <c r="H14" s="166">
        <v>77383</v>
      </c>
      <c r="I14" s="167">
        <f t="shared" si="4"/>
        <v>5.554418845739395E-2</v>
      </c>
      <c r="J14" s="167">
        <f t="shared" si="1"/>
        <v>0.10180473403919423</v>
      </c>
      <c r="K14" s="166">
        <v>92876</v>
      </c>
      <c r="L14" s="166">
        <v>156330</v>
      </c>
      <c r="M14" s="166">
        <v>274306</v>
      </c>
      <c r="N14" s="166">
        <v>310411</v>
      </c>
      <c r="O14" s="166">
        <v>317945</v>
      </c>
      <c r="P14" s="166">
        <v>307269</v>
      </c>
      <c r="Q14" s="167">
        <f t="shared" si="5"/>
        <v>-3.3578134583025387E-2</v>
      </c>
      <c r="R14" s="167">
        <f t="shared" si="3"/>
        <v>8.9355190583054189E-2</v>
      </c>
      <c r="S14" s="166">
        <v>117027</v>
      </c>
      <c r="T14" s="166">
        <v>339027</v>
      </c>
      <c r="U14" s="166">
        <v>383013</v>
      </c>
      <c r="V14" s="166">
        <v>391256</v>
      </c>
      <c r="W14" s="166">
        <v>384652</v>
      </c>
      <c r="X14" s="167">
        <f t="shared" si="6"/>
        <v>-1.6878974379945566E-2</v>
      </c>
      <c r="Y14" s="167">
        <f t="shared" si="7"/>
        <v>9.1608914728774485E-2</v>
      </c>
    </row>
    <row r="15" spans="1:25" x14ac:dyDescent="0.25">
      <c r="A15" s="1"/>
      <c r="B15" s="165" t="s">
        <v>119</v>
      </c>
      <c r="C15" s="166">
        <v>11033</v>
      </c>
      <c r="D15" s="166">
        <v>21498</v>
      </c>
      <c r="E15" s="166">
        <v>31998</v>
      </c>
      <c r="F15" s="166">
        <v>34481</v>
      </c>
      <c r="G15" s="166">
        <v>33841</v>
      </c>
      <c r="H15" s="166">
        <v>36771</v>
      </c>
      <c r="I15" s="167">
        <f t="shared" si="4"/>
        <v>8.6581365798882981E-2</v>
      </c>
      <c r="J15" s="167">
        <f t="shared" si="1"/>
        <v>4.8375765676637129E-2</v>
      </c>
      <c r="K15" s="166">
        <v>37725</v>
      </c>
      <c r="L15" s="166">
        <v>83736</v>
      </c>
      <c r="M15" s="166">
        <v>134432</v>
      </c>
      <c r="N15" s="166">
        <v>141579</v>
      </c>
      <c r="O15" s="166">
        <v>159005</v>
      </c>
      <c r="P15" s="166">
        <v>147456</v>
      </c>
      <c r="Q15" s="167">
        <f t="shared" si="5"/>
        <v>-7.26329360711927E-2</v>
      </c>
      <c r="R15" s="167">
        <f t="shared" si="3"/>
        <v>4.2880860036693703E-2</v>
      </c>
      <c r="S15" s="166">
        <v>48758</v>
      </c>
      <c r="T15" s="166">
        <v>166430</v>
      </c>
      <c r="U15" s="166">
        <v>176060</v>
      </c>
      <c r="V15" s="166">
        <v>192846</v>
      </c>
      <c r="W15" s="166">
        <v>184227</v>
      </c>
      <c r="X15" s="167">
        <f t="shared" si="6"/>
        <v>-4.469369341339724E-2</v>
      </c>
      <c r="Y15" s="167">
        <f t="shared" si="7"/>
        <v>4.3875595431033601E-2</v>
      </c>
    </row>
    <row r="16" spans="1:25" x14ac:dyDescent="0.25">
      <c r="A16" s="1"/>
      <c r="B16" s="165" t="s">
        <v>126</v>
      </c>
      <c r="C16" s="166">
        <v>4317</v>
      </c>
      <c r="D16" s="166">
        <v>10076</v>
      </c>
      <c r="E16" s="166">
        <v>19335</v>
      </c>
      <c r="F16" s="166">
        <v>14807</v>
      </c>
      <c r="G16" s="166">
        <v>14110</v>
      </c>
      <c r="H16" s="166">
        <v>13807</v>
      </c>
      <c r="I16" s="167">
        <f t="shared" si="4"/>
        <v>-2.1474131821403231E-2</v>
      </c>
      <c r="J16" s="167">
        <f t="shared" si="1"/>
        <v>1.8164428400025259E-2</v>
      </c>
      <c r="K16" s="166">
        <v>23225</v>
      </c>
      <c r="L16" s="166">
        <v>56946</v>
      </c>
      <c r="M16" s="166">
        <v>104116</v>
      </c>
      <c r="N16" s="166">
        <v>103068</v>
      </c>
      <c r="O16" s="166">
        <v>113511</v>
      </c>
      <c r="P16" s="166">
        <v>104063</v>
      </c>
      <c r="Q16" s="167">
        <f t="shared" si="5"/>
        <v>-8.3234223995912293E-2</v>
      </c>
      <c r="R16" s="167">
        <f t="shared" si="3"/>
        <v>3.0261982815202211E-2</v>
      </c>
      <c r="S16" s="166">
        <v>27542</v>
      </c>
      <c r="T16" s="166">
        <v>123451</v>
      </c>
      <c r="U16" s="166">
        <v>117875</v>
      </c>
      <c r="V16" s="166">
        <v>127621</v>
      </c>
      <c r="W16" s="166">
        <v>117870</v>
      </c>
      <c r="X16" s="167">
        <f t="shared" si="6"/>
        <v>-7.6405920655691406E-2</v>
      </c>
      <c r="Y16" s="167">
        <f t="shared" si="7"/>
        <v>2.8071978773230474E-2</v>
      </c>
    </row>
    <row r="17" spans="1:25" x14ac:dyDescent="0.25">
      <c r="A17" s="58"/>
      <c r="B17" s="165" t="s">
        <v>122</v>
      </c>
      <c r="C17" s="166">
        <v>5010</v>
      </c>
      <c r="D17" s="166">
        <v>6294</v>
      </c>
      <c r="E17" s="166">
        <v>10411</v>
      </c>
      <c r="F17" s="166">
        <v>10566</v>
      </c>
      <c r="G17" s="166">
        <v>9886</v>
      </c>
      <c r="H17" s="166">
        <v>10604</v>
      </c>
      <c r="I17" s="167">
        <f t="shared" si="4"/>
        <v>7.262795872951644E-2</v>
      </c>
      <c r="J17" s="167">
        <f t="shared" si="1"/>
        <v>1.3950575704633001E-2</v>
      </c>
      <c r="K17" s="166">
        <v>43633</v>
      </c>
      <c r="L17" s="166">
        <v>77431</v>
      </c>
      <c r="M17" s="166">
        <v>120097</v>
      </c>
      <c r="N17" s="166">
        <v>123521</v>
      </c>
      <c r="O17" s="166">
        <v>130398</v>
      </c>
      <c r="P17" s="166">
        <v>121641</v>
      </c>
      <c r="Q17" s="167">
        <f t="shared" si="5"/>
        <v>-6.7155937974508806E-2</v>
      </c>
      <c r="R17" s="167">
        <f t="shared" si="3"/>
        <v>3.5373743324947506E-2</v>
      </c>
      <c r="S17" s="166">
        <v>48643</v>
      </c>
      <c r="T17" s="166">
        <v>130508</v>
      </c>
      <c r="U17" s="166">
        <v>134087</v>
      </c>
      <c r="V17" s="166">
        <v>140284</v>
      </c>
      <c r="W17" s="166">
        <v>132245</v>
      </c>
      <c r="X17" s="167">
        <f t="shared" si="6"/>
        <v>-5.7305180918707732E-2</v>
      </c>
      <c r="Y17" s="167">
        <f t="shared" si="7"/>
        <v>3.1495536038566758E-2</v>
      </c>
    </row>
    <row r="18" spans="1:25" x14ac:dyDescent="0.25">
      <c r="A18" s="58"/>
      <c r="B18" s="165" t="s">
        <v>131</v>
      </c>
      <c r="C18" s="166">
        <v>3321</v>
      </c>
      <c r="D18" s="166">
        <v>2149</v>
      </c>
      <c r="E18" s="166">
        <v>5595</v>
      </c>
      <c r="F18" s="166">
        <v>6018</v>
      </c>
      <c r="G18" s="166">
        <v>5527</v>
      </c>
      <c r="H18" s="166">
        <v>5989</v>
      </c>
      <c r="I18" s="167">
        <f t="shared" si="4"/>
        <v>8.358965080513836E-2</v>
      </c>
      <c r="J18" s="167">
        <f t="shared" si="1"/>
        <v>7.8791020270696944E-3</v>
      </c>
      <c r="K18" s="166">
        <v>14957</v>
      </c>
      <c r="L18" s="166">
        <v>12822</v>
      </c>
      <c r="M18" s="166">
        <v>35340</v>
      </c>
      <c r="N18" s="166">
        <v>38414</v>
      </c>
      <c r="O18" s="166">
        <v>36006</v>
      </c>
      <c r="P18" s="166">
        <v>33961</v>
      </c>
      <c r="Q18" s="167">
        <f t="shared" si="5"/>
        <v>-5.6796089540632089E-2</v>
      </c>
      <c r="R18" s="167">
        <f t="shared" si="3"/>
        <v>9.8760097093787639E-3</v>
      </c>
      <c r="S18" s="166">
        <v>18278</v>
      </c>
      <c r="T18" s="166">
        <v>40935</v>
      </c>
      <c r="U18" s="166">
        <v>44432</v>
      </c>
      <c r="V18" s="166">
        <v>41533</v>
      </c>
      <c r="W18" s="166">
        <v>39950</v>
      </c>
      <c r="X18" s="167">
        <f t="shared" si="6"/>
        <v>-3.8114270580020704E-2</v>
      </c>
      <c r="Y18" s="167">
        <f t="shared" si="7"/>
        <v>9.5145121913171923E-3</v>
      </c>
    </row>
    <row r="19" spans="1:25" x14ac:dyDescent="0.25">
      <c r="A19" s="58"/>
      <c r="B19" s="165" t="s">
        <v>134</v>
      </c>
      <c r="C19" s="166">
        <v>3428</v>
      </c>
      <c r="D19" s="166">
        <v>1763</v>
      </c>
      <c r="E19" s="166">
        <v>3453</v>
      </c>
      <c r="F19" s="166">
        <v>4405</v>
      </c>
      <c r="G19" s="166">
        <v>3651</v>
      </c>
      <c r="H19" s="166">
        <v>3369</v>
      </c>
      <c r="I19" s="167">
        <f t="shared" si="4"/>
        <v>-7.7239112571898083E-2</v>
      </c>
      <c r="J19" s="167">
        <f t="shared" si="1"/>
        <v>4.4322415644010354E-3</v>
      </c>
      <c r="K19" s="166">
        <v>22111</v>
      </c>
      <c r="L19" s="166">
        <v>10721</v>
      </c>
      <c r="M19" s="166">
        <v>31821</v>
      </c>
      <c r="N19" s="166">
        <v>40302</v>
      </c>
      <c r="O19" s="166">
        <v>37275</v>
      </c>
      <c r="P19" s="166">
        <v>32249</v>
      </c>
      <c r="Q19" s="167">
        <f t="shared" si="5"/>
        <v>-0.13483568075117369</v>
      </c>
      <c r="R19" s="167">
        <f t="shared" si="3"/>
        <v>9.3781525019214912E-3</v>
      </c>
      <c r="S19" s="166">
        <v>25539</v>
      </c>
      <c r="T19" s="166">
        <v>35274</v>
      </c>
      <c r="U19" s="166">
        <v>44707</v>
      </c>
      <c r="V19" s="166">
        <v>40926</v>
      </c>
      <c r="W19" s="166">
        <v>35618</v>
      </c>
      <c r="X19" s="167">
        <f t="shared" si="6"/>
        <v>-0.12969750280994963</v>
      </c>
      <c r="Y19" s="167">
        <f t="shared" si="7"/>
        <v>8.4828008818607203E-3</v>
      </c>
    </row>
    <row r="20" spans="1:25" x14ac:dyDescent="0.25">
      <c r="A20" s="58"/>
      <c r="B20" s="170" t="s">
        <v>148</v>
      </c>
      <c r="C20" s="171">
        <f t="shared" ref="C20" si="8">C12-SUM(C13:C19)</f>
        <v>57269</v>
      </c>
      <c r="D20" s="171">
        <f t="shared" ref="D20:H20" si="9">D12-SUM(D13:D19)</f>
        <v>81543</v>
      </c>
      <c r="E20" s="171">
        <f t="shared" si="9"/>
        <v>177894</v>
      </c>
      <c r="F20" s="171">
        <f t="shared" si="9"/>
        <v>183114</v>
      </c>
      <c r="G20" s="171">
        <f t="shared" si="9"/>
        <v>202107</v>
      </c>
      <c r="H20" s="171">
        <f t="shared" si="9"/>
        <v>210661</v>
      </c>
      <c r="I20" s="172">
        <f t="shared" si="4"/>
        <v>4.2324115443799659E-2</v>
      </c>
      <c r="J20" s="172">
        <f t="shared" si="1"/>
        <v>0.27714468394131392</v>
      </c>
      <c r="K20" s="171">
        <f t="shared" ref="K20:P20" si="10">K12-SUM(K13:K19)</f>
        <v>163374</v>
      </c>
      <c r="L20" s="171">
        <f t="shared" si="10"/>
        <v>293055</v>
      </c>
      <c r="M20" s="171">
        <f t="shared" si="10"/>
        <v>583188</v>
      </c>
      <c r="N20" s="171">
        <f t="shared" si="10"/>
        <v>662840</v>
      </c>
      <c r="O20" s="171">
        <f t="shared" si="10"/>
        <v>724464</v>
      </c>
      <c r="P20" s="171">
        <f t="shared" si="10"/>
        <v>719932</v>
      </c>
      <c r="Q20" s="172">
        <f t="shared" si="5"/>
        <v>-6.255659356434573E-3</v>
      </c>
      <c r="R20" s="172">
        <f t="shared" si="3"/>
        <v>0.20935942469575311</v>
      </c>
      <c r="S20" s="171">
        <f>S12-SUM(S13:S19)</f>
        <v>220643</v>
      </c>
      <c r="T20" s="171">
        <f>T12-SUM(T13:T19)</f>
        <v>761082</v>
      </c>
      <c r="U20" s="171">
        <f>U12-SUM(U13:U19)</f>
        <v>845954</v>
      </c>
      <c r="V20" s="171">
        <f>V12-SUM(V13:V19)</f>
        <v>926571</v>
      </c>
      <c r="W20" s="171">
        <f>W12-SUM(W13:W19)</f>
        <v>930593</v>
      </c>
      <c r="X20" s="172">
        <f t="shared" si="6"/>
        <v>4.3407358961158327E-3</v>
      </c>
      <c r="Y20" s="172">
        <f t="shared" si="7"/>
        <v>0.22163049921538022</v>
      </c>
    </row>
    <row r="21" spans="1:25" x14ac:dyDescent="0.25">
      <c r="A21" s="58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</row>
    <row r="22" spans="1:25" x14ac:dyDescent="0.25">
      <c r="A22" s="58"/>
      <c r="B22" s="158" t="s">
        <v>71</v>
      </c>
      <c r="C22" s="178">
        <f t="shared" ref="C22:H22" si="11">C23+C26</f>
        <v>41215</v>
      </c>
      <c r="D22" s="178">
        <f t="shared" si="11"/>
        <v>64946</v>
      </c>
      <c r="E22" s="178">
        <f t="shared" si="11"/>
        <v>165265</v>
      </c>
      <c r="F22" s="178">
        <f t="shared" si="11"/>
        <v>165626</v>
      </c>
      <c r="G22" s="178">
        <f t="shared" si="11"/>
        <v>152899</v>
      </c>
      <c r="H22" s="178">
        <f t="shared" si="11"/>
        <v>160603</v>
      </c>
      <c r="I22" s="179">
        <f>IFERROR(H22/G22-1,"-")</f>
        <v>5.0386202656655721E-2</v>
      </c>
      <c r="J22" s="179">
        <f t="shared" ref="J22:J34" si="12">H22/H$8</f>
        <v>0.21128859957479951</v>
      </c>
      <c r="K22" s="178">
        <f t="shared" ref="K22:P22" si="13">K23+K26</f>
        <v>373186</v>
      </c>
      <c r="L22" s="178">
        <f t="shared" si="13"/>
        <v>687822</v>
      </c>
      <c r="M22" s="178">
        <f t="shared" si="13"/>
        <v>1325364</v>
      </c>
      <c r="N22" s="178">
        <f t="shared" si="13"/>
        <v>1377896</v>
      </c>
      <c r="O22" s="178">
        <f t="shared" si="13"/>
        <v>1421021</v>
      </c>
      <c r="P22" s="178">
        <f t="shared" si="13"/>
        <v>1317842</v>
      </c>
      <c r="Q22" s="179">
        <f>IFERROR(P22/O22-1,"-")</f>
        <v>-7.2609060668350378E-2</v>
      </c>
      <c r="R22" s="179">
        <f t="shared" ref="R22:R34" si="14">P22/P$8</f>
        <v>0.38323430957354399</v>
      </c>
      <c r="S22" s="178">
        <f>S23+S26</f>
        <v>414401</v>
      </c>
      <c r="T22" s="178">
        <f>T23+T26</f>
        <v>1490629</v>
      </c>
      <c r="U22" s="178">
        <f>U23+U26</f>
        <v>1543522</v>
      </c>
      <c r="V22" s="178">
        <f>V23+V26</f>
        <v>1573920</v>
      </c>
      <c r="W22" s="178">
        <f>W23+W26</f>
        <v>1478445</v>
      </c>
      <c r="X22" s="179">
        <f>IFERROR(W22/V22-1,"-")</f>
        <v>-6.0660643488868571E-2</v>
      </c>
      <c r="Y22" s="179">
        <f>W22/W$8</f>
        <v>0.35210720842783344</v>
      </c>
    </row>
    <row r="23" spans="1:25" x14ac:dyDescent="0.25">
      <c r="A23" s="58"/>
      <c r="B23" s="161" t="s">
        <v>100</v>
      </c>
      <c r="C23" s="162">
        <v>2649</v>
      </c>
      <c r="D23" s="162">
        <v>8952</v>
      </c>
      <c r="E23" s="162">
        <v>12689</v>
      </c>
      <c r="F23" s="162">
        <v>11591</v>
      </c>
      <c r="G23" s="162">
        <v>7728</v>
      </c>
      <c r="H23" s="162">
        <v>9219</v>
      </c>
      <c r="I23" s="163">
        <f>IFERROR(H23/G23-1,"-")</f>
        <v>0.19293478260869557</v>
      </c>
      <c r="J23" s="163">
        <f t="shared" si="12"/>
        <v>1.212847580356579E-2</v>
      </c>
      <c r="K23" s="162">
        <v>79064</v>
      </c>
      <c r="L23" s="162">
        <v>198275</v>
      </c>
      <c r="M23" s="162">
        <v>161372</v>
      </c>
      <c r="N23" s="162">
        <v>131439</v>
      </c>
      <c r="O23" s="162">
        <v>120665</v>
      </c>
      <c r="P23" s="162">
        <v>102393</v>
      </c>
      <c r="Q23" s="163">
        <f>IFERROR(P23/O23-1,"-")</f>
        <v>-0.15142750590477771</v>
      </c>
      <c r="R23" s="163">
        <f t="shared" si="14"/>
        <v>2.9776339394376482E-2</v>
      </c>
      <c r="S23" s="162">
        <v>81713</v>
      </c>
      <c r="T23" s="162">
        <v>174061</v>
      </c>
      <c r="U23" s="162">
        <v>143030</v>
      </c>
      <c r="V23" s="162">
        <v>128393</v>
      </c>
      <c r="W23" s="162">
        <v>111612</v>
      </c>
      <c r="X23" s="163">
        <f>IFERROR(W23/V23-1,"-")</f>
        <v>-0.13070027182167254</v>
      </c>
      <c r="Y23" s="163">
        <f>W23/W$8</f>
        <v>2.6581570330345292E-2</v>
      </c>
    </row>
    <row r="24" spans="1:25" x14ac:dyDescent="0.25">
      <c r="A24" s="58"/>
      <c r="B24" s="165" t="s">
        <v>106</v>
      </c>
      <c r="C24" s="166">
        <v>1653</v>
      </c>
      <c r="D24" s="166">
        <v>4418</v>
      </c>
      <c r="E24" s="166">
        <v>6088</v>
      </c>
      <c r="F24" s="166">
        <v>5369</v>
      </c>
      <c r="G24" s="166">
        <v>2401</v>
      </c>
      <c r="H24" s="166">
        <v>3104</v>
      </c>
      <c r="I24" s="167">
        <f>IFERROR(H24/G24-1,"-")</f>
        <v>0.29279466888796324</v>
      </c>
      <c r="J24" s="167">
        <f t="shared" si="12"/>
        <v>4.0836087313448543E-3</v>
      </c>
      <c r="K24" s="166">
        <v>39766</v>
      </c>
      <c r="L24" s="166">
        <v>92809</v>
      </c>
      <c r="M24" s="166">
        <v>62381</v>
      </c>
      <c r="N24" s="166">
        <v>49550</v>
      </c>
      <c r="O24" s="166">
        <v>41611</v>
      </c>
      <c r="P24" s="166">
        <v>46937</v>
      </c>
      <c r="Q24" s="167">
        <f>IFERROR(P24/O24-1,"-")</f>
        <v>0.12799500132176589</v>
      </c>
      <c r="R24" s="167">
        <f t="shared" si="14"/>
        <v>1.3649488169639028E-2</v>
      </c>
      <c r="S24" s="166">
        <v>41419</v>
      </c>
      <c r="T24" s="166">
        <v>68469</v>
      </c>
      <c r="U24" s="166">
        <v>54919</v>
      </c>
      <c r="V24" s="166">
        <v>44012</v>
      </c>
      <c r="W24" s="166">
        <v>50041</v>
      </c>
      <c r="X24" s="167">
        <f>IFERROR(W24/V24-1,"-")</f>
        <v>0.13698536762701075</v>
      </c>
      <c r="Y24" s="167">
        <f>W24/W$8</f>
        <v>1.1917789851456912E-2</v>
      </c>
    </row>
    <row r="25" spans="1:25" x14ac:dyDescent="0.25">
      <c r="A25" s="58"/>
      <c r="B25" s="165" t="s">
        <v>12</v>
      </c>
      <c r="C25" s="166">
        <v>996</v>
      </c>
      <c r="D25" s="166">
        <v>4534</v>
      </c>
      <c r="E25" s="166">
        <v>6601</v>
      </c>
      <c r="F25" s="166">
        <v>6222</v>
      </c>
      <c r="G25" s="166">
        <v>5327</v>
      </c>
      <c r="H25" s="166">
        <v>6115</v>
      </c>
      <c r="I25" s="167">
        <f>IFERROR(H25/G25-1,"-")</f>
        <v>0.14792566172329646</v>
      </c>
      <c r="J25" s="167">
        <f t="shared" si="12"/>
        <v>8.0448670722209365E-3</v>
      </c>
      <c r="K25" s="166">
        <v>39298</v>
      </c>
      <c r="L25" s="166">
        <v>105466</v>
      </c>
      <c r="M25" s="166">
        <v>98991</v>
      </c>
      <c r="N25" s="166">
        <v>81889</v>
      </c>
      <c r="O25" s="166">
        <v>79054</v>
      </c>
      <c r="P25" s="166">
        <v>55456</v>
      </c>
      <c r="Q25" s="167">
        <f>IFERROR(P25/O25-1,"-")</f>
        <v>-0.29850481949047492</v>
      </c>
      <c r="R25" s="167">
        <f t="shared" si="14"/>
        <v>1.6126851224737455E-2</v>
      </c>
      <c r="S25" s="166">
        <v>40294</v>
      </c>
      <c r="T25" s="166">
        <v>105592</v>
      </c>
      <c r="U25" s="166">
        <v>88111</v>
      </c>
      <c r="V25" s="166">
        <v>84381</v>
      </c>
      <c r="W25" s="166">
        <v>61571</v>
      </c>
      <c r="X25" s="167">
        <f>IFERROR(W25/V25-1,"-")</f>
        <v>-0.27032151787724723</v>
      </c>
      <c r="Y25" s="167">
        <f>W25/W$8</f>
        <v>1.4663780478888382E-2</v>
      </c>
    </row>
    <row r="26" spans="1:25" x14ac:dyDescent="0.25">
      <c r="A26" s="58"/>
      <c r="B26" s="161" t="s">
        <v>110</v>
      </c>
      <c r="C26" s="162">
        <v>38566</v>
      </c>
      <c r="D26" s="162">
        <v>55994</v>
      </c>
      <c r="E26" s="162">
        <v>152576</v>
      </c>
      <c r="F26" s="162">
        <v>154035</v>
      </c>
      <c r="G26" s="162">
        <v>145171</v>
      </c>
      <c r="H26" s="162">
        <v>151384</v>
      </c>
      <c r="I26" s="163">
        <f>IFERROR(H26/G26-1,"-")</f>
        <v>4.2797803969112369E-2</v>
      </c>
      <c r="J26" s="163">
        <f t="shared" si="12"/>
        <v>0.19916012377123371</v>
      </c>
      <c r="K26" s="162">
        <v>294122</v>
      </c>
      <c r="L26" s="162">
        <v>489547</v>
      </c>
      <c r="M26" s="162">
        <v>1163992</v>
      </c>
      <c r="N26" s="162">
        <v>1246457</v>
      </c>
      <c r="O26" s="162">
        <v>1300356</v>
      </c>
      <c r="P26" s="162">
        <v>1215449</v>
      </c>
      <c r="Q26" s="163">
        <f>IFERROR(P26/O26-1,"-")</f>
        <v>-6.5295196084764529E-2</v>
      </c>
      <c r="R26" s="163">
        <f t="shared" si="14"/>
        <v>0.35345797017916752</v>
      </c>
      <c r="S26" s="162">
        <v>332688</v>
      </c>
      <c r="T26" s="162">
        <v>1316568</v>
      </c>
      <c r="U26" s="162">
        <v>1400492</v>
      </c>
      <c r="V26" s="162">
        <v>1445527</v>
      </c>
      <c r="W26" s="162">
        <v>1366833</v>
      </c>
      <c r="X26" s="163">
        <f>IFERROR(W26/V26-1,"-")</f>
        <v>-5.44396611062955E-2</v>
      </c>
      <c r="Y26" s="163">
        <f>W26/W$8</f>
        <v>0.32552563809748813</v>
      </c>
    </row>
    <row r="27" spans="1:25" s="58" customFormat="1" x14ac:dyDescent="0.25">
      <c r="B27" s="165" t="s">
        <v>113</v>
      </c>
      <c r="C27" s="166">
        <v>14501</v>
      </c>
      <c r="D27" s="166">
        <v>16270</v>
      </c>
      <c r="E27" s="166">
        <v>66823</v>
      </c>
      <c r="F27" s="166">
        <v>69319</v>
      </c>
      <c r="G27" s="166">
        <v>63618</v>
      </c>
      <c r="H27" s="166">
        <v>64714</v>
      </c>
      <c r="I27" s="167">
        <f t="shared" ref="I27:I34" si="15">IFERROR(H27/G27-1,"-")</f>
        <v>1.7227828601968032E-2</v>
      </c>
      <c r="J27" s="167">
        <f t="shared" si="12"/>
        <v>8.5137453427915885E-2</v>
      </c>
      <c r="K27" s="166">
        <v>123826</v>
      </c>
      <c r="L27" s="166">
        <v>159037</v>
      </c>
      <c r="M27" s="166">
        <v>590382</v>
      </c>
      <c r="N27" s="166">
        <v>640725</v>
      </c>
      <c r="O27" s="166">
        <v>669764</v>
      </c>
      <c r="P27" s="166">
        <v>630571</v>
      </c>
      <c r="Q27" s="167">
        <f t="shared" ref="Q27:Q34" si="16">IFERROR(P27/O27-1,"-")</f>
        <v>-5.8517627104472614E-2</v>
      </c>
      <c r="R27" s="167">
        <f t="shared" si="14"/>
        <v>0.18337284881047897</v>
      </c>
      <c r="S27" s="166">
        <v>138327</v>
      </c>
      <c r="T27" s="166">
        <v>657205</v>
      </c>
      <c r="U27" s="166">
        <v>710044</v>
      </c>
      <c r="V27" s="166">
        <v>733382</v>
      </c>
      <c r="W27" s="166">
        <v>695285</v>
      </c>
      <c r="X27" s="167">
        <f t="shared" ref="X27:X34" si="17">IFERROR(W27/V27-1,"-")</f>
        <v>-5.1947007153161695E-2</v>
      </c>
      <c r="Y27" s="167">
        <f t="shared" ref="Y27:Y34" si="18">W27/W$8</f>
        <v>0.16558942700725843</v>
      </c>
    </row>
    <row r="28" spans="1:25" s="58" customFormat="1" x14ac:dyDescent="0.25">
      <c r="B28" s="165" t="s">
        <v>116</v>
      </c>
      <c r="C28" s="166">
        <v>7166</v>
      </c>
      <c r="D28" s="166">
        <v>14336</v>
      </c>
      <c r="E28" s="166">
        <v>27397</v>
      </c>
      <c r="F28" s="166">
        <v>30224</v>
      </c>
      <c r="G28" s="166">
        <v>29376</v>
      </c>
      <c r="H28" s="166">
        <v>30419</v>
      </c>
      <c r="I28" s="167">
        <f t="shared" si="15"/>
        <v>3.5505174291939001E-2</v>
      </c>
      <c r="J28" s="167">
        <f t="shared" si="12"/>
        <v>4.0019102448060284E-2</v>
      </c>
      <c r="K28" s="166">
        <v>38335</v>
      </c>
      <c r="L28" s="166">
        <v>81095</v>
      </c>
      <c r="M28" s="166">
        <v>128496</v>
      </c>
      <c r="N28" s="166">
        <v>137354</v>
      </c>
      <c r="O28" s="166">
        <v>137486</v>
      </c>
      <c r="P28" s="166">
        <v>125843</v>
      </c>
      <c r="Q28" s="167">
        <f t="shared" si="16"/>
        <v>-8.4684986107676385E-2</v>
      </c>
      <c r="R28" s="167">
        <f t="shared" si="14"/>
        <v>3.6595703596989243E-2</v>
      </c>
      <c r="S28" s="166">
        <v>45501</v>
      </c>
      <c r="T28" s="166">
        <v>155893</v>
      </c>
      <c r="U28" s="166">
        <v>167578</v>
      </c>
      <c r="V28" s="166">
        <v>166862</v>
      </c>
      <c r="W28" s="166">
        <v>156262</v>
      </c>
      <c r="X28" s="167">
        <f t="shared" si="17"/>
        <v>-6.3525548057676406E-2</v>
      </c>
      <c r="Y28" s="167">
        <f t="shared" si="18"/>
        <v>3.7215436897111563E-2</v>
      </c>
    </row>
    <row r="29" spans="1:25" x14ac:dyDescent="0.25">
      <c r="A29" s="58"/>
      <c r="B29" s="165" t="s">
        <v>119</v>
      </c>
      <c r="C29" s="166">
        <v>3102</v>
      </c>
      <c r="D29" s="166">
        <v>4987</v>
      </c>
      <c r="E29" s="166">
        <v>4132</v>
      </c>
      <c r="F29" s="166">
        <v>2982</v>
      </c>
      <c r="G29" s="166">
        <v>3034</v>
      </c>
      <c r="H29" s="166">
        <v>3330</v>
      </c>
      <c r="I29" s="167">
        <f t="shared" si="15"/>
        <v>9.7560975609756184E-2</v>
      </c>
      <c r="J29" s="167">
        <f t="shared" si="12"/>
        <v>4.3809333361399371E-3</v>
      </c>
      <c r="K29" s="166">
        <v>13442</v>
      </c>
      <c r="L29" s="166">
        <v>30800</v>
      </c>
      <c r="M29" s="166">
        <v>48228</v>
      </c>
      <c r="N29" s="166">
        <v>43563</v>
      </c>
      <c r="O29" s="166">
        <v>39137</v>
      </c>
      <c r="P29" s="166">
        <v>36886</v>
      </c>
      <c r="Q29" s="167">
        <f t="shared" si="16"/>
        <v>-5.7515905664716205E-2</v>
      </c>
      <c r="R29" s="167">
        <f t="shared" si="14"/>
        <v>1.0726612706932807E-2</v>
      </c>
      <c r="S29" s="166">
        <v>16544</v>
      </c>
      <c r="T29" s="166">
        <v>52360</v>
      </c>
      <c r="U29" s="166">
        <v>46545</v>
      </c>
      <c r="V29" s="166">
        <v>42171</v>
      </c>
      <c r="W29" s="166">
        <v>40216</v>
      </c>
      <c r="X29" s="167">
        <f t="shared" si="17"/>
        <v>-4.635887221076096E-2</v>
      </c>
      <c r="Y29" s="167">
        <f t="shared" si="18"/>
        <v>9.5778628857575016E-3</v>
      </c>
    </row>
    <row r="30" spans="1:25" x14ac:dyDescent="0.25">
      <c r="A30" s="58"/>
      <c r="B30" s="165" t="s">
        <v>126</v>
      </c>
      <c r="C30" s="166">
        <v>1713</v>
      </c>
      <c r="D30" s="166">
        <v>3938</v>
      </c>
      <c r="E30" s="166">
        <v>7950</v>
      </c>
      <c r="F30" s="166">
        <v>4040</v>
      </c>
      <c r="G30" s="166">
        <v>3255</v>
      </c>
      <c r="H30" s="166">
        <v>3744</v>
      </c>
      <c r="I30" s="167">
        <f t="shared" si="15"/>
        <v>0.15023041474654386</v>
      </c>
      <c r="J30" s="167">
        <f t="shared" si="12"/>
        <v>4.9255899130654429E-3</v>
      </c>
      <c r="K30" s="166">
        <v>11678</v>
      </c>
      <c r="L30" s="166">
        <v>32115</v>
      </c>
      <c r="M30" s="166">
        <v>56445</v>
      </c>
      <c r="N30" s="166">
        <v>53432</v>
      </c>
      <c r="O30" s="166">
        <v>57796</v>
      </c>
      <c r="P30" s="166">
        <v>53210</v>
      </c>
      <c r="Q30" s="167">
        <f t="shared" si="16"/>
        <v>-7.9348051768288408E-2</v>
      </c>
      <c r="R30" s="167">
        <f t="shared" si="14"/>
        <v>1.5473704444393391E-2</v>
      </c>
      <c r="S30" s="166">
        <v>13391</v>
      </c>
      <c r="T30" s="166">
        <v>64395</v>
      </c>
      <c r="U30" s="166">
        <v>57472</v>
      </c>
      <c r="V30" s="166">
        <v>61051</v>
      </c>
      <c r="W30" s="166">
        <v>56954</v>
      </c>
      <c r="X30" s="167">
        <f t="shared" si="17"/>
        <v>-6.7107827881607185E-2</v>
      </c>
      <c r="Y30" s="167">
        <f t="shared" si="18"/>
        <v>1.3564193425388719E-2</v>
      </c>
    </row>
    <row r="31" spans="1:25" x14ac:dyDescent="0.25">
      <c r="A31" s="58"/>
      <c r="B31" s="165" t="s">
        <v>122</v>
      </c>
      <c r="C31" s="166">
        <v>1332</v>
      </c>
      <c r="D31" s="166">
        <v>2232</v>
      </c>
      <c r="E31" s="166">
        <v>4497</v>
      </c>
      <c r="F31" s="166">
        <v>3231</v>
      </c>
      <c r="G31" s="166">
        <v>2567</v>
      </c>
      <c r="H31" s="166">
        <v>2688</v>
      </c>
      <c r="I31" s="167">
        <f t="shared" si="15"/>
        <v>4.713673548889763E-2</v>
      </c>
      <c r="J31" s="167">
        <f t="shared" si="12"/>
        <v>3.536320963226472E-3</v>
      </c>
      <c r="K31" s="166">
        <v>23072</v>
      </c>
      <c r="L31" s="166">
        <v>46414</v>
      </c>
      <c r="M31" s="166">
        <v>73182</v>
      </c>
      <c r="N31" s="166">
        <v>71425</v>
      </c>
      <c r="O31" s="166">
        <v>73828</v>
      </c>
      <c r="P31" s="166">
        <v>70496</v>
      </c>
      <c r="Q31" s="167">
        <f t="shared" si="16"/>
        <v>-4.5131928265698673E-2</v>
      </c>
      <c r="R31" s="167">
        <f t="shared" si="14"/>
        <v>2.0500550056605085E-2</v>
      </c>
      <c r="S31" s="166">
        <v>24404</v>
      </c>
      <c r="T31" s="166">
        <v>77679</v>
      </c>
      <c r="U31" s="166">
        <v>74656</v>
      </c>
      <c r="V31" s="166">
        <v>76395</v>
      </c>
      <c r="W31" s="166">
        <v>73184</v>
      </c>
      <c r="X31" s="167">
        <f t="shared" si="17"/>
        <v>-4.2031546567183664E-2</v>
      </c>
      <c r="Y31" s="167">
        <f t="shared" si="18"/>
        <v>1.7429538428269272E-2</v>
      </c>
    </row>
    <row r="32" spans="1:25" x14ac:dyDescent="0.25">
      <c r="A32" s="58"/>
      <c r="B32" s="165" t="s">
        <v>131</v>
      </c>
      <c r="C32" s="166">
        <v>1374</v>
      </c>
      <c r="D32" s="166">
        <v>590</v>
      </c>
      <c r="E32" s="166">
        <v>1708</v>
      </c>
      <c r="F32" s="166">
        <v>2116</v>
      </c>
      <c r="G32" s="166">
        <v>2577</v>
      </c>
      <c r="H32" s="166">
        <v>2806</v>
      </c>
      <c r="I32" s="167">
        <f t="shared" si="15"/>
        <v>8.886301901435778E-2</v>
      </c>
      <c r="J32" s="167">
        <f t="shared" si="12"/>
        <v>3.6915612436062054E-3</v>
      </c>
      <c r="K32" s="166">
        <v>8188</v>
      </c>
      <c r="L32" s="166">
        <v>5697</v>
      </c>
      <c r="M32" s="166">
        <v>18357</v>
      </c>
      <c r="N32" s="166">
        <v>18855</v>
      </c>
      <c r="O32" s="166">
        <v>18273</v>
      </c>
      <c r="P32" s="166">
        <v>16305</v>
      </c>
      <c r="Q32" s="167">
        <f t="shared" si="16"/>
        <v>-0.10769988507634209</v>
      </c>
      <c r="R32" s="167">
        <f t="shared" si="14"/>
        <v>4.7415664530320286E-3</v>
      </c>
      <c r="S32" s="166">
        <v>9562</v>
      </c>
      <c r="T32" s="166">
        <v>20065</v>
      </c>
      <c r="U32" s="166">
        <v>20971</v>
      </c>
      <c r="V32" s="166">
        <v>20850</v>
      </c>
      <c r="W32" s="166">
        <v>19111</v>
      </c>
      <c r="X32" s="167">
        <f t="shared" si="17"/>
        <v>-8.3405275779376509E-2</v>
      </c>
      <c r="Y32" s="167">
        <f t="shared" si="18"/>
        <v>4.5514854189802967E-3</v>
      </c>
    </row>
    <row r="33" spans="1:25" x14ac:dyDescent="0.25">
      <c r="A33" s="58"/>
      <c r="B33" s="165" t="s">
        <v>134</v>
      </c>
      <c r="C33" s="166">
        <v>669</v>
      </c>
      <c r="D33" s="166">
        <v>195</v>
      </c>
      <c r="E33" s="166">
        <v>794</v>
      </c>
      <c r="F33" s="166">
        <v>833</v>
      </c>
      <c r="G33" s="166">
        <v>620</v>
      </c>
      <c r="H33" s="166">
        <v>522</v>
      </c>
      <c r="I33" s="167">
        <f t="shared" si="15"/>
        <v>-0.15806451612903227</v>
      </c>
      <c r="J33" s="167">
        <f t="shared" si="12"/>
        <v>6.8674090134085506E-4</v>
      </c>
      <c r="K33" s="166">
        <v>10873</v>
      </c>
      <c r="L33" s="166">
        <v>4211</v>
      </c>
      <c r="M33" s="166">
        <v>16482</v>
      </c>
      <c r="N33" s="166">
        <v>21196</v>
      </c>
      <c r="O33" s="166">
        <v>19378</v>
      </c>
      <c r="P33" s="166">
        <v>16679</v>
      </c>
      <c r="Q33" s="167">
        <f t="shared" si="16"/>
        <v>-0.1392816596139953</v>
      </c>
      <c r="R33" s="167">
        <f t="shared" si="14"/>
        <v>4.8503273149415032E-3</v>
      </c>
      <c r="S33" s="166">
        <v>11542</v>
      </c>
      <c r="T33" s="166">
        <v>17276</v>
      </c>
      <c r="U33" s="166">
        <v>22029</v>
      </c>
      <c r="V33" s="166">
        <v>19998</v>
      </c>
      <c r="W33" s="166">
        <v>17201</v>
      </c>
      <c r="X33" s="167">
        <f t="shared" si="17"/>
        <v>-0.13986398639863984</v>
      </c>
      <c r="Y33" s="167">
        <f t="shared" si="18"/>
        <v>4.0965988536382234E-3</v>
      </c>
    </row>
    <row r="34" spans="1:25" x14ac:dyDescent="0.25">
      <c r="A34" s="58"/>
      <c r="B34" s="170" t="s">
        <v>148</v>
      </c>
      <c r="C34" s="171">
        <f t="shared" ref="C34" si="19">C26-SUM(C27:C33)</f>
        <v>8709</v>
      </c>
      <c r="D34" s="171">
        <f t="shared" ref="D34:H34" si="20">D26-SUM(D27:D33)</f>
        <v>13446</v>
      </c>
      <c r="E34" s="171">
        <f t="shared" si="20"/>
        <v>39275</v>
      </c>
      <c r="F34" s="171">
        <f t="shared" si="20"/>
        <v>41290</v>
      </c>
      <c r="G34" s="171">
        <f t="shared" si="20"/>
        <v>40124</v>
      </c>
      <c r="H34" s="171">
        <f t="shared" si="20"/>
        <v>43161</v>
      </c>
      <c r="I34" s="172">
        <f t="shared" si="15"/>
        <v>7.5690359884358571E-2</v>
      </c>
      <c r="J34" s="172">
        <f t="shared" si="12"/>
        <v>5.678242153787863E-2</v>
      </c>
      <c r="K34" s="171">
        <f t="shared" ref="K34:P34" si="21">K26-SUM(K27:K33)</f>
        <v>64708</v>
      </c>
      <c r="L34" s="171">
        <f t="shared" si="21"/>
        <v>130178</v>
      </c>
      <c r="M34" s="171">
        <f t="shared" si="21"/>
        <v>232420</v>
      </c>
      <c r="N34" s="171">
        <f t="shared" si="21"/>
        <v>259907</v>
      </c>
      <c r="O34" s="171">
        <f t="shared" si="21"/>
        <v>284694</v>
      </c>
      <c r="P34" s="171">
        <f t="shared" si="21"/>
        <v>265459</v>
      </c>
      <c r="Q34" s="172">
        <f t="shared" si="16"/>
        <v>-6.7563770223468045E-2</v>
      </c>
      <c r="R34" s="172">
        <f t="shared" si="14"/>
        <v>7.7196656795794502E-2</v>
      </c>
      <c r="S34" s="171">
        <f>S26-SUM(S27:S33)</f>
        <v>73417</v>
      </c>
      <c r="T34" s="171">
        <f>T26-SUM(T27:T33)</f>
        <v>271695</v>
      </c>
      <c r="U34" s="171">
        <f>U26-SUM(U27:U33)</f>
        <v>301197</v>
      </c>
      <c r="V34" s="171">
        <f>V26-SUM(V27:V33)</f>
        <v>324818</v>
      </c>
      <c r="W34" s="171">
        <f>W26-SUM(W27:W33)</f>
        <v>308620</v>
      </c>
      <c r="X34" s="172">
        <f t="shared" si="17"/>
        <v>-4.9867926038581589E-2</v>
      </c>
      <c r="Y34" s="172">
        <f t="shared" si="18"/>
        <v>7.350109518108415E-2</v>
      </c>
    </row>
    <row r="35" spans="1:25" x14ac:dyDescent="0.25">
      <c r="A35" s="58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</row>
    <row r="36" spans="1:25" x14ac:dyDescent="0.25">
      <c r="A36" s="58"/>
      <c r="B36" s="158" t="s">
        <v>71</v>
      </c>
      <c r="C36" s="178">
        <f t="shared" ref="C36:H36" si="22">C37+C40</f>
        <v>50947</v>
      </c>
      <c r="D36" s="178">
        <f t="shared" si="22"/>
        <v>50672</v>
      </c>
      <c r="E36" s="178">
        <f t="shared" si="22"/>
        <v>179190</v>
      </c>
      <c r="F36" s="178">
        <f t="shared" si="22"/>
        <v>201032</v>
      </c>
      <c r="G36" s="178">
        <f t="shared" si="22"/>
        <v>210205</v>
      </c>
      <c r="H36" s="178">
        <f t="shared" si="22"/>
        <v>189976</v>
      </c>
      <c r="I36" s="179">
        <f>IFERROR(H36/G36-1,"-")</f>
        <v>-9.6234628101139363E-2</v>
      </c>
      <c r="J36" s="179">
        <f t="shared" ref="J36:J48" si="23">H36/H$8</f>
        <v>0.24993158902898521</v>
      </c>
      <c r="K36" s="178">
        <f t="shared" ref="K36:P36" si="24">K37+K40</f>
        <v>144560</v>
      </c>
      <c r="L36" s="178">
        <f t="shared" si="24"/>
        <v>206077</v>
      </c>
      <c r="M36" s="178">
        <f t="shared" si="24"/>
        <v>573367</v>
      </c>
      <c r="N36" s="178">
        <f t="shared" si="24"/>
        <v>609879</v>
      </c>
      <c r="O36" s="178">
        <f t="shared" si="24"/>
        <v>651234</v>
      </c>
      <c r="P36" s="178">
        <f t="shared" si="24"/>
        <v>686791</v>
      </c>
      <c r="Q36" s="179">
        <f>IFERROR(P36/O36-1,"-")</f>
        <v>5.4599422020348953E-2</v>
      </c>
      <c r="R36" s="179">
        <f t="shared" ref="R36:R48" si="25">P36/P$8</f>
        <v>0.19972187463013311</v>
      </c>
      <c r="S36" s="178">
        <f>S37+S40</f>
        <v>195507</v>
      </c>
      <c r="T36" s="178">
        <f>T37+T40</f>
        <v>752557</v>
      </c>
      <c r="U36" s="178">
        <f>U37+U40</f>
        <v>810911</v>
      </c>
      <c r="V36" s="178">
        <f>V37+V40</f>
        <v>861439</v>
      </c>
      <c r="W36" s="178">
        <f>W37+W40</f>
        <v>876767</v>
      </c>
      <c r="X36" s="179">
        <f>IFERROR(W36/V36-1,"-")</f>
        <v>1.7793482765465773E-2</v>
      </c>
      <c r="Y36" s="179">
        <f>W36/W$8</f>
        <v>0.20881127185092868</v>
      </c>
    </row>
    <row r="37" spans="1:25" x14ac:dyDescent="0.25">
      <c r="A37" s="58"/>
      <c r="B37" s="161" t="s">
        <v>100</v>
      </c>
      <c r="C37" s="162">
        <v>4883</v>
      </c>
      <c r="D37" s="162">
        <v>6062</v>
      </c>
      <c r="E37" s="162">
        <v>22234</v>
      </c>
      <c r="F37" s="162">
        <v>28199</v>
      </c>
      <c r="G37" s="162">
        <v>31522</v>
      </c>
      <c r="H37" s="162">
        <v>21772</v>
      </c>
      <c r="I37" s="163">
        <f>IFERROR(H37/G37-1,"-")</f>
        <v>-0.30930778503902034</v>
      </c>
      <c r="J37" s="163">
        <f t="shared" si="23"/>
        <v>2.8643147325657273E-2</v>
      </c>
      <c r="K37" s="162">
        <v>17106</v>
      </c>
      <c r="L37" s="162">
        <v>33772</v>
      </c>
      <c r="M37" s="162">
        <v>60854</v>
      </c>
      <c r="N37" s="162">
        <v>53463</v>
      </c>
      <c r="O37" s="162">
        <v>49257</v>
      </c>
      <c r="P37" s="162">
        <v>58204</v>
      </c>
      <c r="Q37" s="163">
        <f>IFERROR(P37/O37-1,"-")</f>
        <v>0.18163915788618867</v>
      </c>
      <c r="R37" s="163">
        <f t="shared" si="25"/>
        <v>1.6925981835772843E-2</v>
      </c>
      <c r="S37" s="162">
        <v>21989</v>
      </c>
      <c r="T37" s="162">
        <v>83088</v>
      </c>
      <c r="U37" s="162">
        <v>81662</v>
      </c>
      <c r="V37" s="162">
        <v>80779</v>
      </c>
      <c r="W37" s="162">
        <v>79976</v>
      </c>
      <c r="X37" s="163">
        <f>IFERROR(W37/V37-1,"-")</f>
        <v>-9.9407024102798891E-3</v>
      </c>
      <c r="Y37" s="163">
        <f>W37/W$8</f>
        <v>1.9047124581045901E-2</v>
      </c>
    </row>
    <row r="38" spans="1:25" x14ac:dyDescent="0.25">
      <c r="A38" s="58"/>
      <c r="B38" s="165" t="s">
        <v>106</v>
      </c>
      <c r="C38" s="166">
        <v>1992</v>
      </c>
      <c r="D38" s="166">
        <v>4351</v>
      </c>
      <c r="E38" s="166">
        <v>9363</v>
      </c>
      <c r="F38" s="166">
        <v>15617</v>
      </c>
      <c r="G38" s="166">
        <v>21291</v>
      </c>
      <c r="H38" s="166">
        <v>11825</v>
      </c>
      <c r="I38" s="167">
        <f>IFERROR(H38/G38-1,"-")</f>
        <v>-0.44460100511953404</v>
      </c>
      <c r="J38" s="167">
        <f t="shared" si="23"/>
        <v>1.5556917927884311E-2</v>
      </c>
      <c r="K38" s="166">
        <v>1625</v>
      </c>
      <c r="L38" s="166">
        <v>4726</v>
      </c>
      <c r="M38" s="166">
        <v>9315</v>
      </c>
      <c r="N38" s="166">
        <v>14016</v>
      </c>
      <c r="O38" s="166">
        <v>10087</v>
      </c>
      <c r="P38" s="166">
        <v>18014</v>
      </c>
      <c r="Q38" s="167">
        <f>IFERROR(P38/O38-1,"-")</f>
        <v>0.78586299196986209</v>
      </c>
      <c r="R38" s="167">
        <f t="shared" si="25"/>
        <v>5.238551247158477E-3</v>
      </c>
      <c r="S38" s="166">
        <v>3617</v>
      </c>
      <c r="T38" s="166">
        <v>18678</v>
      </c>
      <c r="U38" s="166">
        <v>29633</v>
      </c>
      <c r="V38" s="166">
        <v>31378</v>
      </c>
      <c r="W38" s="166">
        <v>29839</v>
      </c>
      <c r="X38" s="167">
        <f>IFERROR(W38/V38-1,"-")</f>
        <v>-4.9047103065842257E-2</v>
      </c>
      <c r="Y38" s="167">
        <f>W38/W$8</f>
        <v>7.1064713210691787E-3</v>
      </c>
    </row>
    <row r="39" spans="1:25" x14ac:dyDescent="0.25">
      <c r="A39" s="58"/>
      <c r="B39" s="165" t="s">
        <v>103</v>
      </c>
      <c r="C39" s="166">
        <v>2891</v>
      </c>
      <c r="D39" s="166">
        <v>1711</v>
      </c>
      <c r="E39" s="166">
        <v>12871</v>
      </c>
      <c r="F39" s="166">
        <v>12582</v>
      </c>
      <c r="G39" s="166">
        <v>10231</v>
      </c>
      <c r="H39" s="166">
        <v>9947</v>
      </c>
      <c r="I39" s="167">
        <f>IFERROR(H39/G39-1,"-")</f>
        <v>-2.7758772358518202E-2</v>
      </c>
      <c r="J39" s="167">
        <f t="shared" si="23"/>
        <v>1.308622939777296E-2</v>
      </c>
      <c r="K39" s="166">
        <v>15481</v>
      </c>
      <c r="L39" s="166">
        <v>29046</v>
      </c>
      <c r="M39" s="166">
        <v>51539</v>
      </c>
      <c r="N39" s="166">
        <v>39447</v>
      </c>
      <c r="O39" s="166">
        <v>39170</v>
      </c>
      <c r="P39" s="166">
        <v>40190</v>
      </c>
      <c r="Q39" s="167">
        <f>IFERROR(P39/O39-1,"-")</f>
        <v>2.6040336992596336E-2</v>
      </c>
      <c r="R39" s="167">
        <f t="shared" si="25"/>
        <v>1.1687430588614366E-2</v>
      </c>
      <c r="S39" s="166">
        <v>18372</v>
      </c>
      <c r="T39" s="166">
        <v>64410</v>
      </c>
      <c r="U39" s="166">
        <v>52029</v>
      </c>
      <c r="V39" s="166">
        <v>49401</v>
      </c>
      <c r="W39" s="166">
        <v>50137</v>
      </c>
      <c r="X39" s="167">
        <f>IFERROR(W39/V39-1,"-")</f>
        <v>1.48984838363595E-2</v>
      </c>
      <c r="Y39" s="167">
        <f>W39/W$8</f>
        <v>1.1940653259976721E-2</v>
      </c>
    </row>
    <row r="40" spans="1:25" x14ac:dyDescent="0.25">
      <c r="A40" s="58"/>
      <c r="B40" s="161" t="s">
        <v>110</v>
      </c>
      <c r="C40" s="162">
        <v>46064</v>
      </c>
      <c r="D40" s="162">
        <v>44610</v>
      </c>
      <c r="E40" s="162">
        <v>156956</v>
      </c>
      <c r="F40" s="162">
        <v>172833</v>
      </c>
      <c r="G40" s="162">
        <v>178683</v>
      </c>
      <c r="H40" s="162">
        <v>168204</v>
      </c>
      <c r="I40" s="163">
        <f>IFERROR(H40/G40-1,"-")</f>
        <v>-5.8645758130320136E-2</v>
      </c>
      <c r="J40" s="163">
        <f t="shared" si="23"/>
        <v>0.22128844170332793</v>
      </c>
      <c r="K40" s="162">
        <v>127454</v>
      </c>
      <c r="L40" s="162">
        <v>172305</v>
      </c>
      <c r="M40" s="162">
        <v>512513</v>
      </c>
      <c r="N40" s="162">
        <v>556416</v>
      </c>
      <c r="O40" s="162">
        <v>601977</v>
      </c>
      <c r="P40" s="162">
        <v>628587</v>
      </c>
      <c r="Q40" s="163">
        <f>IFERROR(P40/O40-1,"-")</f>
        <v>4.4204346677696904E-2</v>
      </c>
      <c r="R40" s="163">
        <f t="shared" si="25"/>
        <v>0.18279589279436026</v>
      </c>
      <c r="S40" s="162">
        <v>173518</v>
      </c>
      <c r="T40" s="162">
        <v>669469</v>
      </c>
      <c r="U40" s="162">
        <v>729249</v>
      </c>
      <c r="V40" s="162">
        <v>780660</v>
      </c>
      <c r="W40" s="162">
        <v>796791</v>
      </c>
      <c r="X40" s="163">
        <f>IFERROR(W40/V40-1,"-")</f>
        <v>2.0663284912766144E-2</v>
      </c>
      <c r="Y40" s="163">
        <f>W40/W$8</f>
        <v>0.18976414726988278</v>
      </c>
    </row>
    <row r="41" spans="1:25" s="58" customFormat="1" x14ac:dyDescent="0.25">
      <c r="B41" s="165" t="s">
        <v>113</v>
      </c>
      <c r="C41" s="166">
        <v>23313</v>
      </c>
      <c r="D41" s="166">
        <v>17021</v>
      </c>
      <c r="E41" s="166">
        <v>75160</v>
      </c>
      <c r="F41" s="166">
        <v>74704</v>
      </c>
      <c r="G41" s="166">
        <v>75962</v>
      </c>
      <c r="H41" s="166">
        <v>64357</v>
      </c>
      <c r="I41" s="167">
        <f t="shared" ref="I41:I48" si="26">IFERROR(H41/G41-1,"-")</f>
        <v>-0.15277375529870196</v>
      </c>
      <c r="J41" s="167">
        <f t="shared" si="23"/>
        <v>8.4667785799987363E-2</v>
      </c>
      <c r="K41" s="166">
        <v>60908</v>
      </c>
      <c r="L41" s="166">
        <v>63769</v>
      </c>
      <c r="M41" s="166">
        <v>269103</v>
      </c>
      <c r="N41" s="166">
        <v>299592</v>
      </c>
      <c r="O41" s="166">
        <v>337098</v>
      </c>
      <c r="P41" s="166">
        <v>344030</v>
      </c>
      <c r="Q41" s="167">
        <f t="shared" ref="Q41:Q48" si="27">IFERROR(P41/O41-1,"-")</f>
        <v>2.0563752973912663E-2</v>
      </c>
      <c r="R41" s="167">
        <f t="shared" si="25"/>
        <v>0.10004545273453597</v>
      </c>
      <c r="S41" s="166">
        <v>84221</v>
      </c>
      <c r="T41" s="166">
        <v>344263</v>
      </c>
      <c r="U41" s="166">
        <v>374296</v>
      </c>
      <c r="V41" s="166">
        <v>413060</v>
      </c>
      <c r="W41" s="166">
        <v>408387</v>
      </c>
      <c r="X41" s="167">
        <f t="shared" ref="X41:X48" si="28">IFERROR(W41/V41-1,"-")</f>
        <v>-1.1313126422311526E-2</v>
      </c>
      <c r="Y41" s="167">
        <f t="shared" ref="Y41:Y48" si="29">W41/W$8</f>
        <v>9.7261654324792349E-2</v>
      </c>
    </row>
    <row r="42" spans="1:25" s="58" customFormat="1" x14ac:dyDescent="0.25">
      <c r="B42" s="165" t="s">
        <v>116</v>
      </c>
      <c r="C42" s="166">
        <v>3106</v>
      </c>
      <c r="D42" s="166">
        <v>2578</v>
      </c>
      <c r="E42" s="166">
        <v>7845</v>
      </c>
      <c r="F42" s="166">
        <v>10851</v>
      </c>
      <c r="G42" s="166">
        <v>11127</v>
      </c>
      <c r="H42" s="166">
        <v>12948</v>
      </c>
      <c r="I42" s="167">
        <f t="shared" si="26"/>
        <v>0.16365597196009696</v>
      </c>
      <c r="J42" s="167">
        <f t="shared" si="23"/>
        <v>1.7034331782684656E-2</v>
      </c>
      <c r="K42" s="166">
        <v>7249</v>
      </c>
      <c r="L42" s="166">
        <v>10918</v>
      </c>
      <c r="M42" s="166">
        <v>19949</v>
      </c>
      <c r="N42" s="166">
        <v>22563</v>
      </c>
      <c r="O42" s="166">
        <v>20333</v>
      </c>
      <c r="P42" s="166">
        <v>21621</v>
      </c>
      <c r="Q42" s="167">
        <f t="shared" si="27"/>
        <v>6.3345300742635224E-2</v>
      </c>
      <c r="R42" s="167">
        <f t="shared" si="25"/>
        <v>6.2874828752533269E-3</v>
      </c>
      <c r="S42" s="166">
        <v>10355</v>
      </c>
      <c r="T42" s="166">
        <v>27794</v>
      </c>
      <c r="U42" s="166">
        <v>33414</v>
      </c>
      <c r="V42" s="166">
        <v>31460</v>
      </c>
      <c r="W42" s="166">
        <v>34569</v>
      </c>
      <c r="X42" s="167">
        <f t="shared" si="28"/>
        <v>9.8823903369357868E-2</v>
      </c>
      <c r="Y42" s="167">
        <f t="shared" si="29"/>
        <v>8.2329705116807005E-3</v>
      </c>
    </row>
    <row r="43" spans="1:25" x14ac:dyDescent="0.25">
      <c r="A43" s="58"/>
      <c r="B43" s="165" t="s">
        <v>119</v>
      </c>
      <c r="C43" s="166">
        <v>1962</v>
      </c>
      <c r="D43" s="166">
        <v>1781</v>
      </c>
      <c r="E43" s="166">
        <v>5675</v>
      </c>
      <c r="F43" s="166">
        <v>7845</v>
      </c>
      <c r="G43" s="166">
        <v>8232</v>
      </c>
      <c r="H43" s="166">
        <v>8794</v>
      </c>
      <c r="I43" s="167">
        <f t="shared" si="26"/>
        <v>6.8270165208940803E-2</v>
      </c>
      <c r="J43" s="167">
        <f t="shared" si="23"/>
        <v>1.1569347675079462E-2</v>
      </c>
      <c r="K43" s="166">
        <v>3852</v>
      </c>
      <c r="L43" s="166">
        <v>8252</v>
      </c>
      <c r="M43" s="166">
        <v>12032</v>
      </c>
      <c r="N43" s="166">
        <v>11886</v>
      </c>
      <c r="O43" s="166">
        <v>11380</v>
      </c>
      <c r="P43" s="166">
        <v>13384</v>
      </c>
      <c r="Q43" s="167">
        <f t="shared" si="27"/>
        <v>0.17609841827768014</v>
      </c>
      <c r="R43" s="167">
        <f t="shared" si="25"/>
        <v>3.8921266732524179E-3</v>
      </c>
      <c r="S43" s="166">
        <v>5814</v>
      </c>
      <c r="T43" s="166">
        <v>17707</v>
      </c>
      <c r="U43" s="166">
        <v>19731</v>
      </c>
      <c r="V43" s="166">
        <v>19612</v>
      </c>
      <c r="W43" s="166">
        <v>22178</v>
      </c>
      <c r="X43" s="167">
        <f t="shared" si="28"/>
        <v>0.13083826228839479</v>
      </c>
      <c r="Y43" s="167">
        <f t="shared" si="29"/>
        <v>5.2819236890871762E-3</v>
      </c>
    </row>
    <row r="44" spans="1:25" x14ac:dyDescent="0.25">
      <c r="A44" s="58"/>
      <c r="B44" s="165" t="s">
        <v>126</v>
      </c>
      <c r="C44" s="166">
        <v>781</v>
      </c>
      <c r="D44" s="166">
        <v>1430</v>
      </c>
      <c r="E44" s="166">
        <v>3236</v>
      </c>
      <c r="F44" s="166">
        <v>3478</v>
      </c>
      <c r="G44" s="166">
        <v>3809</v>
      </c>
      <c r="H44" s="166">
        <v>3286</v>
      </c>
      <c r="I44" s="167">
        <f t="shared" si="26"/>
        <v>-0.13730637962719872</v>
      </c>
      <c r="J44" s="167">
        <f t="shared" si="23"/>
        <v>4.3230471298966464E-3</v>
      </c>
      <c r="K44" s="166">
        <v>5930</v>
      </c>
      <c r="L44" s="166">
        <v>13570</v>
      </c>
      <c r="M44" s="166">
        <v>27358</v>
      </c>
      <c r="N44" s="166">
        <v>26160</v>
      </c>
      <c r="O44" s="166">
        <v>28369</v>
      </c>
      <c r="P44" s="166">
        <v>25403</v>
      </c>
      <c r="Q44" s="167">
        <f t="shared" si="27"/>
        <v>-0.10455074200712045</v>
      </c>
      <c r="R44" s="167">
        <f t="shared" si="25"/>
        <v>7.3873052809796157E-3</v>
      </c>
      <c r="S44" s="166">
        <v>6711</v>
      </c>
      <c r="T44" s="166">
        <v>30594</v>
      </c>
      <c r="U44" s="166">
        <v>29638</v>
      </c>
      <c r="V44" s="166">
        <v>32178</v>
      </c>
      <c r="W44" s="166">
        <v>28689</v>
      </c>
      <c r="X44" s="167">
        <f t="shared" si="28"/>
        <v>-0.10842811859034118</v>
      </c>
      <c r="Y44" s="167">
        <f t="shared" si="29"/>
        <v>6.8325867398422759E-3</v>
      </c>
    </row>
    <row r="45" spans="1:25" x14ac:dyDescent="0.25">
      <c r="A45" s="58"/>
      <c r="B45" s="165" t="s">
        <v>122</v>
      </c>
      <c r="C45" s="166">
        <v>1043</v>
      </c>
      <c r="D45" s="166">
        <v>722</v>
      </c>
      <c r="E45" s="166">
        <v>1778</v>
      </c>
      <c r="F45" s="166">
        <v>2265</v>
      </c>
      <c r="G45" s="166">
        <v>2413</v>
      </c>
      <c r="H45" s="166">
        <v>3459</v>
      </c>
      <c r="I45" s="167">
        <f t="shared" si="26"/>
        <v>0.43348528802320763</v>
      </c>
      <c r="J45" s="167">
        <f t="shared" si="23"/>
        <v>4.5506451680804938E-3</v>
      </c>
      <c r="K45" s="166">
        <v>10410</v>
      </c>
      <c r="L45" s="166">
        <v>16968</v>
      </c>
      <c r="M45" s="166">
        <v>29000</v>
      </c>
      <c r="N45" s="166">
        <v>33231</v>
      </c>
      <c r="O45" s="166">
        <v>33087</v>
      </c>
      <c r="P45" s="166">
        <v>29103</v>
      </c>
      <c r="Q45" s="167">
        <f t="shared" si="27"/>
        <v>-0.12040982863360228</v>
      </c>
      <c r="R45" s="167">
        <f t="shared" si="25"/>
        <v>8.4632817223300304E-3</v>
      </c>
      <c r="S45" s="166">
        <v>11453</v>
      </c>
      <c r="T45" s="166">
        <v>30778</v>
      </c>
      <c r="U45" s="166">
        <v>35496</v>
      </c>
      <c r="V45" s="166">
        <v>35500</v>
      </c>
      <c r="W45" s="166">
        <v>32562</v>
      </c>
      <c r="X45" s="167">
        <f t="shared" si="28"/>
        <v>-8.2760563380281704E-2</v>
      </c>
      <c r="Y45" s="167">
        <f t="shared" si="29"/>
        <v>7.7549823773134016E-3</v>
      </c>
    </row>
    <row r="46" spans="1:25" x14ac:dyDescent="0.25">
      <c r="A46" s="58"/>
      <c r="B46" s="165" t="s">
        <v>131</v>
      </c>
      <c r="C46" s="166">
        <v>1099</v>
      </c>
      <c r="D46" s="166">
        <v>749</v>
      </c>
      <c r="E46" s="166">
        <v>2218</v>
      </c>
      <c r="F46" s="166">
        <v>2217</v>
      </c>
      <c r="G46" s="166">
        <v>1673</v>
      </c>
      <c r="H46" s="166">
        <v>1722</v>
      </c>
      <c r="I46" s="167">
        <f t="shared" si="26"/>
        <v>2.9288702928870203E-2</v>
      </c>
      <c r="J46" s="167">
        <f t="shared" si="23"/>
        <v>2.2654556170669587E-3</v>
      </c>
      <c r="K46" s="166">
        <v>2290</v>
      </c>
      <c r="L46" s="166">
        <v>2639</v>
      </c>
      <c r="M46" s="166">
        <v>6605</v>
      </c>
      <c r="N46" s="166">
        <v>7002</v>
      </c>
      <c r="O46" s="166">
        <v>6960</v>
      </c>
      <c r="P46" s="166">
        <v>8257</v>
      </c>
      <c r="Q46" s="167">
        <f t="shared" si="27"/>
        <v>0.18635057471264371</v>
      </c>
      <c r="R46" s="167">
        <f t="shared" si="25"/>
        <v>2.4011722908730735E-3</v>
      </c>
      <c r="S46" s="166">
        <v>3389</v>
      </c>
      <c r="T46" s="166">
        <v>8823</v>
      </c>
      <c r="U46" s="166">
        <v>9219</v>
      </c>
      <c r="V46" s="166">
        <v>8633</v>
      </c>
      <c r="W46" s="166">
        <v>9979</v>
      </c>
      <c r="X46" s="167">
        <f t="shared" si="28"/>
        <v>0.15591335572802034</v>
      </c>
      <c r="Y46" s="167">
        <f t="shared" si="29"/>
        <v>2.3766036835332731E-3</v>
      </c>
    </row>
    <row r="47" spans="1:25" x14ac:dyDescent="0.25">
      <c r="A47" s="58"/>
      <c r="B47" s="165" t="s">
        <v>134</v>
      </c>
      <c r="C47" s="166">
        <v>1080</v>
      </c>
      <c r="D47" s="166">
        <v>761</v>
      </c>
      <c r="E47" s="166">
        <v>1311</v>
      </c>
      <c r="F47" s="166">
        <v>1982</v>
      </c>
      <c r="G47" s="166">
        <v>1393</v>
      </c>
      <c r="H47" s="166">
        <v>1019</v>
      </c>
      <c r="I47" s="167">
        <f t="shared" si="26"/>
        <v>-0.26848528356066048</v>
      </c>
      <c r="J47" s="167">
        <f t="shared" si="23"/>
        <v>1.3405919127707495E-3</v>
      </c>
      <c r="K47" s="166">
        <v>4129</v>
      </c>
      <c r="L47" s="166">
        <v>3019</v>
      </c>
      <c r="M47" s="166">
        <v>6804</v>
      </c>
      <c r="N47" s="166">
        <v>8431</v>
      </c>
      <c r="O47" s="166">
        <v>7038</v>
      </c>
      <c r="P47" s="166">
        <v>6780</v>
      </c>
      <c r="Q47" s="167">
        <f t="shared" si="27"/>
        <v>-3.6658141517476595E-2</v>
      </c>
      <c r="R47" s="167">
        <f t="shared" si="25"/>
        <v>1.9716541276637322E-3</v>
      </c>
      <c r="S47" s="166">
        <v>5209</v>
      </c>
      <c r="T47" s="166">
        <v>8115</v>
      </c>
      <c r="U47" s="166">
        <v>10413</v>
      </c>
      <c r="V47" s="166">
        <v>8431</v>
      </c>
      <c r="W47" s="166">
        <v>7799</v>
      </c>
      <c r="X47" s="167">
        <f t="shared" si="28"/>
        <v>-7.4961451785078848E-2</v>
      </c>
      <c r="Y47" s="167">
        <f t="shared" si="29"/>
        <v>1.8574137817292311E-3</v>
      </c>
    </row>
    <row r="48" spans="1:25" x14ac:dyDescent="0.25">
      <c r="A48" s="58"/>
      <c r="B48" s="170" t="s">
        <v>148</v>
      </c>
      <c r="C48" s="171">
        <f t="shared" ref="C48" si="30">C40-SUM(C41:C47)</f>
        <v>13680</v>
      </c>
      <c r="D48" s="171">
        <f t="shared" ref="D48:H48" si="31">D40-SUM(D41:D47)</f>
        <v>19568</v>
      </c>
      <c r="E48" s="171">
        <f t="shared" si="31"/>
        <v>59733</v>
      </c>
      <c r="F48" s="171">
        <f t="shared" si="31"/>
        <v>69491</v>
      </c>
      <c r="G48" s="171">
        <f t="shared" si="31"/>
        <v>74074</v>
      </c>
      <c r="H48" s="171">
        <f t="shared" si="31"/>
        <v>72619</v>
      </c>
      <c r="I48" s="172">
        <f t="shared" si="26"/>
        <v>-1.9642519642519618E-2</v>
      </c>
      <c r="J48" s="172">
        <f t="shared" si="23"/>
        <v>9.5537236617761589E-2</v>
      </c>
      <c r="K48" s="171">
        <f t="shared" ref="K48:P48" si="32">K40-SUM(K41:K47)</f>
        <v>32686</v>
      </c>
      <c r="L48" s="171">
        <f t="shared" si="32"/>
        <v>53170</v>
      </c>
      <c r="M48" s="171">
        <f t="shared" si="32"/>
        <v>141662</v>
      </c>
      <c r="N48" s="171">
        <f t="shared" si="32"/>
        <v>147551</v>
      </c>
      <c r="O48" s="171">
        <f t="shared" si="32"/>
        <v>157712</v>
      </c>
      <c r="P48" s="171">
        <f t="shared" si="32"/>
        <v>180009</v>
      </c>
      <c r="Q48" s="172">
        <f t="shared" si="27"/>
        <v>0.14137795475296744</v>
      </c>
      <c r="R48" s="172">
        <f t="shared" si="25"/>
        <v>5.2347417089472097E-2</v>
      </c>
      <c r="S48" s="171">
        <f>S40-SUM(S41:S47)</f>
        <v>46366</v>
      </c>
      <c r="T48" s="171">
        <f>T40-SUM(T41:T47)</f>
        <v>201395</v>
      </c>
      <c r="U48" s="171">
        <f>U40-SUM(U41:U47)</f>
        <v>217042</v>
      </c>
      <c r="V48" s="171">
        <f>V40-SUM(V41:V47)</f>
        <v>231786</v>
      </c>
      <c r="W48" s="171">
        <f>W40-SUM(W41:W47)</f>
        <v>252628</v>
      </c>
      <c r="X48" s="172">
        <f t="shared" si="28"/>
        <v>8.9919149560370393E-2</v>
      </c>
      <c r="Y48" s="172">
        <f t="shared" si="29"/>
        <v>6.016601216190437E-2</v>
      </c>
    </row>
    <row r="49" spans="1:25" x14ac:dyDescent="0.25">
      <c r="A49" s="58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</row>
    <row r="50" spans="1:25" x14ac:dyDescent="0.25">
      <c r="A50" s="58"/>
      <c r="B50" s="158" t="s">
        <v>71</v>
      </c>
      <c r="C50" s="178">
        <f t="shared" ref="C50:H50" si="33">C51+C54</f>
        <v>2479</v>
      </c>
      <c r="D50" s="178">
        <f t="shared" si="33"/>
        <v>3463</v>
      </c>
      <c r="E50" s="178">
        <f t="shared" si="33"/>
        <v>0</v>
      </c>
      <c r="F50" s="178">
        <f t="shared" si="33"/>
        <v>0</v>
      </c>
      <c r="G50" s="178">
        <f t="shared" si="33"/>
        <v>0</v>
      </c>
      <c r="H50" s="178">
        <f t="shared" si="33"/>
        <v>0</v>
      </c>
      <c r="I50" s="179" t="str">
        <f>IFERROR(H50/G50-1,"-")</f>
        <v>-</v>
      </c>
      <c r="J50" s="179">
        <f t="shared" ref="J50:J62" si="34">H50/H$8</f>
        <v>0</v>
      </c>
      <c r="K50" s="178">
        <f t="shared" ref="K50:P50" si="35">K51+K54</f>
        <v>0</v>
      </c>
      <c r="L50" s="178">
        <f t="shared" si="35"/>
        <v>0</v>
      </c>
      <c r="M50" s="178">
        <f t="shared" si="35"/>
        <v>0</v>
      </c>
      <c r="N50" s="178">
        <f t="shared" si="35"/>
        <v>0</v>
      </c>
      <c r="O50" s="178">
        <f t="shared" si="35"/>
        <v>0</v>
      </c>
      <c r="P50" s="178">
        <f t="shared" si="35"/>
        <v>0</v>
      </c>
      <c r="Q50" s="179" t="str">
        <f>IFERROR(P50/O50-1,"-")</f>
        <v>-</v>
      </c>
      <c r="R50" s="179">
        <f t="shared" ref="R50:R62" si="36">P50/P$8</f>
        <v>0</v>
      </c>
      <c r="S50" s="178">
        <f>S51+S54</f>
        <v>10671</v>
      </c>
      <c r="T50" s="178">
        <f>T51+T54</f>
        <v>37638</v>
      </c>
      <c r="U50" s="178">
        <f>U51+U54</f>
        <v>50566</v>
      </c>
      <c r="V50" s="178">
        <f>V51+V54</f>
        <v>44389</v>
      </c>
      <c r="W50" s="178">
        <f>W51+W54</f>
        <v>43817</v>
      </c>
      <c r="X50" s="179">
        <f>IFERROR(W50/V50-1,"-")</f>
        <v>-1.28860753790353E-2</v>
      </c>
      <c r="Y50" s="179">
        <f>W50/W$8</f>
        <v>1.043547886575583E-2</v>
      </c>
    </row>
    <row r="51" spans="1:25" x14ac:dyDescent="0.25">
      <c r="A51" s="58"/>
      <c r="B51" s="161" t="s">
        <v>100</v>
      </c>
      <c r="C51" s="162">
        <v>1212</v>
      </c>
      <c r="D51" s="162">
        <v>787</v>
      </c>
      <c r="E51" s="162">
        <v>0</v>
      </c>
      <c r="F51" s="162">
        <v>0</v>
      </c>
      <c r="G51" s="162">
        <v>0</v>
      </c>
      <c r="H51" s="162">
        <v>0</v>
      </c>
      <c r="I51" s="163" t="str">
        <f>IFERROR(H51/G51-1,"-")</f>
        <v>-</v>
      </c>
      <c r="J51" s="163">
        <f t="shared" si="34"/>
        <v>0</v>
      </c>
      <c r="K51" s="162">
        <v>0</v>
      </c>
      <c r="L51" s="162">
        <v>0</v>
      </c>
      <c r="M51" s="162">
        <v>0</v>
      </c>
      <c r="N51" s="162">
        <v>0</v>
      </c>
      <c r="O51" s="162">
        <v>0</v>
      </c>
      <c r="P51" s="162">
        <v>0</v>
      </c>
      <c r="Q51" s="163" t="str">
        <f>IFERROR(P51/O51-1,"-")</f>
        <v>-</v>
      </c>
      <c r="R51" s="163">
        <f t="shared" si="36"/>
        <v>0</v>
      </c>
      <c r="S51" s="162">
        <v>1985</v>
      </c>
      <c r="T51" s="162">
        <v>6738</v>
      </c>
      <c r="U51" s="162">
        <v>20123</v>
      </c>
      <c r="V51" s="162">
        <v>11822</v>
      </c>
      <c r="W51" s="162">
        <v>9889</v>
      </c>
      <c r="X51" s="163">
        <f>IFERROR(W51/V51-1,"-")</f>
        <v>-0.16350871256978516</v>
      </c>
      <c r="Y51" s="163">
        <f>W51/W$8</f>
        <v>2.3551692380459504E-3</v>
      </c>
    </row>
    <row r="52" spans="1:25" x14ac:dyDescent="0.25">
      <c r="A52" s="58"/>
      <c r="B52" s="165" t="s">
        <v>106</v>
      </c>
      <c r="C52" s="166">
        <v>1116</v>
      </c>
      <c r="D52" s="166">
        <v>309</v>
      </c>
      <c r="E52" s="166">
        <v>0</v>
      </c>
      <c r="F52" s="166">
        <v>0</v>
      </c>
      <c r="G52" s="166">
        <v>0</v>
      </c>
      <c r="H52" s="166">
        <v>0</v>
      </c>
      <c r="I52" s="167" t="str">
        <f>IFERROR(H52/G52-1,"-")</f>
        <v>-</v>
      </c>
      <c r="J52" s="167">
        <f t="shared" si="34"/>
        <v>0</v>
      </c>
      <c r="K52" s="166">
        <v>0</v>
      </c>
      <c r="L52" s="166">
        <v>0</v>
      </c>
      <c r="M52" s="166">
        <v>0</v>
      </c>
      <c r="N52" s="166">
        <v>0</v>
      </c>
      <c r="O52" s="166">
        <v>0</v>
      </c>
      <c r="P52" s="166">
        <v>0</v>
      </c>
      <c r="Q52" s="167" t="str">
        <f>IFERROR(P52/O52-1,"-")</f>
        <v>-</v>
      </c>
      <c r="R52" s="167">
        <f t="shared" si="36"/>
        <v>0</v>
      </c>
      <c r="S52" s="166">
        <v>1483</v>
      </c>
      <c r="T52" s="166">
        <v>3508</v>
      </c>
      <c r="U52" s="166">
        <v>14745</v>
      </c>
      <c r="V52" s="166">
        <v>7661</v>
      </c>
      <c r="W52" s="166">
        <v>5821</v>
      </c>
      <c r="X52" s="167">
        <f>IFERROR(W52/V52-1,"-")</f>
        <v>-0.24017752251664271</v>
      </c>
      <c r="Y52" s="167">
        <f>W52/W$8</f>
        <v>1.3863323020189581E-3</v>
      </c>
    </row>
    <row r="53" spans="1:25" x14ac:dyDescent="0.25">
      <c r="A53" s="58"/>
      <c r="B53" s="165" t="s">
        <v>103</v>
      </c>
      <c r="C53" s="166">
        <v>96</v>
      </c>
      <c r="D53" s="166">
        <v>478</v>
      </c>
      <c r="E53" s="166">
        <v>0</v>
      </c>
      <c r="F53" s="166">
        <v>0</v>
      </c>
      <c r="G53" s="166">
        <v>0</v>
      </c>
      <c r="H53" s="166">
        <v>0</v>
      </c>
      <c r="I53" s="167" t="str">
        <f>IFERROR(H53/G53-1,"-")</f>
        <v>-</v>
      </c>
      <c r="J53" s="167">
        <f t="shared" si="34"/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6">
        <v>0</v>
      </c>
      <c r="Q53" s="167" t="str">
        <f>IFERROR(P53/O53-1,"-")</f>
        <v>-</v>
      </c>
      <c r="R53" s="167">
        <f t="shared" si="36"/>
        <v>0</v>
      </c>
      <c r="S53" s="166">
        <v>502</v>
      </c>
      <c r="T53" s="166">
        <v>3230</v>
      </c>
      <c r="U53" s="166">
        <v>5378</v>
      </c>
      <c r="V53" s="166">
        <v>4161</v>
      </c>
      <c r="W53" s="166">
        <v>4068</v>
      </c>
      <c r="X53" s="167">
        <f>IFERROR(W53/V53-1,"-")</f>
        <v>-2.2350396539293493E-2</v>
      </c>
      <c r="Y53" s="167">
        <f>W53/W$8</f>
        <v>9.6883693602699218E-4</v>
      </c>
    </row>
    <row r="54" spans="1:25" x14ac:dyDescent="0.25">
      <c r="A54" s="58"/>
      <c r="B54" s="161" t="s">
        <v>110</v>
      </c>
      <c r="C54" s="162">
        <v>1267</v>
      </c>
      <c r="D54" s="162">
        <v>2676</v>
      </c>
      <c r="E54" s="162">
        <v>0</v>
      </c>
      <c r="F54" s="162">
        <v>0</v>
      </c>
      <c r="G54" s="162">
        <v>0</v>
      </c>
      <c r="H54" s="162">
        <v>0</v>
      </c>
      <c r="I54" s="163" t="str">
        <f>IFERROR(H54/G54-1,"-")</f>
        <v>-</v>
      </c>
      <c r="J54" s="163">
        <f t="shared" si="34"/>
        <v>0</v>
      </c>
      <c r="K54" s="162">
        <v>0</v>
      </c>
      <c r="L54" s="162">
        <v>0</v>
      </c>
      <c r="M54" s="162">
        <v>0</v>
      </c>
      <c r="N54" s="162">
        <v>0</v>
      </c>
      <c r="O54" s="162">
        <v>0</v>
      </c>
      <c r="P54" s="162">
        <v>0</v>
      </c>
      <c r="Q54" s="163" t="str">
        <f>IFERROR(P54/O54-1,"-")</f>
        <v>-</v>
      </c>
      <c r="R54" s="163">
        <f t="shared" si="36"/>
        <v>0</v>
      </c>
      <c r="S54" s="162">
        <v>8686</v>
      </c>
      <c r="T54" s="162">
        <v>30900</v>
      </c>
      <c r="U54" s="162">
        <v>30443</v>
      </c>
      <c r="V54" s="162">
        <v>32567</v>
      </c>
      <c r="W54" s="162">
        <v>33928</v>
      </c>
      <c r="X54" s="163">
        <f>IFERROR(W54/V54-1,"-")</f>
        <v>4.1790769797647842E-2</v>
      </c>
      <c r="Y54" s="163">
        <f>W54/W$8</f>
        <v>8.0803096277098797E-3</v>
      </c>
    </row>
    <row r="55" spans="1:25" s="58" customFormat="1" x14ac:dyDescent="0.25">
      <c r="B55" s="165" t="s">
        <v>113</v>
      </c>
      <c r="C55" s="166">
        <v>146</v>
      </c>
      <c r="D55" s="166">
        <v>55</v>
      </c>
      <c r="E55" s="166">
        <v>0</v>
      </c>
      <c r="F55" s="166">
        <v>0</v>
      </c>
      <c r="G55" s="166">
        <v>0</v>
      </c>
      <c r="H55" s="166">
        <v>0</v>
      </c>
      <c r="I55" s="167" t="str">
        <f t="shared" ref="I55:I62" si="37">IFERROR(H55/G55-1,"-")</f>
        <v>-</v>
      </c>
      <c r="J55" s="167">
        <f t="shared" si="34"/>
        <v>0</v>
      </c>
      <c r="K55" s="166">
        <v>0</v>
      </c>
      <c r="L55" s="166">
        <v>0</v>
      </c>
      <c r="M55" s="166">
        <v>0</v>
      </c>
      <c r="N55" s="166">
        <v>0</v>
      </c>
      <c r="O55" s="166">
        <v>0</v>
      </c>
      <c r="P55" s="166">
        <v>0</v>
      </c>
      <c r="Q55" s="167" t="str">
        <f t="shared" ref="Q55:Q62" si="38">IFERROR(P55/O55-1,"-")</f>
        <v>-</v>
      </c>
      <c r="R55" s="167">
        <f t="shared" si="36"/>
        <v>0</v>
      </c>
      <c r="S55" s="166">
        <v>2447</v>
      </c>
      <c r="T55" s="166">
        <v>10329</v>
      </c>
      <c r="U55" s="166">
        <v>9247</v>
      </c>
      <c r="V55" s="166">
        <v>10964</v>
      </c>
      <c r="W55" s="166">
        <v>11677</v>
      </c>
      <c r="X55" s="167">
        <f t="shared" ref="X55:X62" si="39">IFERROR(W55/V55-1,"-")</f>
        <v>6.5031010580080206E-2</v>
      </c>
      <c r="Y55" s="167">
        <f t="shared" ref="Y55:Y62" si="40">W55/W$8</f>
        <v>2.7810002217274307E-3</v>
      </c>
    </row>
    <row r="56" spans="1:25" s="58" customFormat="1" x14ac:dyDescent="0.25">
      <c r="B56" s="165" t="s">
        <v>116</v>
      </c>
      <c r="C56" s="166">
        <v>609</v>
      </c>
      <c r="D56" s="166">
        <v>1007</v>
      </c>
      <c r="E56" s="166">
        <v>0</v>
      </c>
      <c r="F56" s="166">
        <v>0</v>
      </c>
      <c r="G56" s="166">
        <v>0</v>
      </c>
      <c r="H56" s="166">
        <v>0</v>
      </c>
      <c r="I56" s="167" t="str">
        <f t="shared" si="37"/>
        <v>-</v>
      </c>
      <c r="J56" s="167">
        <f t="shared" si="34"/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6">
        <v>0</v>
      </c>
      <c r="Q56" s="167" t="str">
        <f t="shared" si="38"/>
        <v>-</v>
      </c>
      <c r="R56" s="167">
        <f t="shared" si="36"/>
        <v>0</v>
      </c>
      <c r="S56" s="166">
        <v>2773</v>
      </c>
      <c r="T56" s="166">
        <v>6783</v>
      </c>
      <c r="U56" s="166">
        <v>6068</v>
      </c>
      <c r="V56" s="166">
        <v>6166</v>
      </c>
      <c r="W56" s="166">
        <v>6797</v>
      </c>
      <c r="X56" s="167">
        <f t="shared" si="39"/>
        <v>0.10233538760947125</v>
      </c>
      <c r="Y56" s="167">
        <f t="shared" si="40"/>
        <v>1.6187769553037035E-3</v>
      </c>
    </row>
    <row r="57" spans="1:25" x14ac:dyDescent="0.25">
      <c r="A57" s="58"/>
      <c r="B57" s="165" t="s">
        <v>119</v>
      </c>
      <c r="C57" s="166">
        <v>80</v>
      </c>
      <c r="D57" s="166">
        <v>446</v>
      </c>
      <c r="E57" s="166">
        <v>0</v>
      </c>
      <c r="F57" s="166">
        <v>0</v>
      </c>
      <c r="G57" s="166">
        <v>0</v>
      </c>
      <c r="H57" s="166">
        <v>0</v>
      </c>
      <c r="I57" s="167" t="str">
        <f t="shared" si="37"/>
        <v>-</v>
      </c>
      <c r="J57" s="167">
        <f t="shared" si="34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6">
        <v>0</v>
      </c>
      <c r="Q57" s="167" t="str">
        <f t="shared" si="38"/>
        <v>-</v>
      </c>
      <c r="R57" s="167">
        <f t="shared" si="36"/>
        <v>0</v>
      </c>
      <c r="S57" s="166">
        <v>473</v>
      </c>
      <c r="T57" s="166">
        <v>2739</v>
      </c>
      <c r="U57" s="166">
        <v>2907</v>
      </c>
      <c r="V57" s="166">
        <v>2482</v>
      </c>
      <c r="W57" s="166">
        <v>2768</v>
      </c>
      <c r="X57" s="167">
        <f t="shared" si="39"/>
        <v>0.11522965350523773</v>
      </c>
      <c r="Y57" s="167">
        <f t="shared" si="40"/>
        <v>6.5922827898788454E-4</v>
      </c>
    </row>
    <row r="58" spans="1:25" x14ac:dyDescent="0.25">
      <c r="A58" s="58"/>
      <c r="B58" s="165" t="s">
        <v>126</v>
      </c>
      <c r="C58" s="166">
        <v>54</v>
      </c>
      <c r="D58" s="166">
        <v>55</v>
      </c>
      <c r="E58" s="166">
        <v>0</v>
      </c>
      <c r="F58" s="166">
        <v>0</v>
      </c>
      <c r="G58" s="166">
        <v>0</v>
      </c>
      <c r="H58" s="166">
        <v>0</v>
      </c>
      <c r="I58" s="167" t="str">
        <f t="shared" si="37"/>
        <v>-</v>
      </c>
      <c r="J58" s="167">
        <f t="shared" si="34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6">
        <v>0</v>
      </c>
      <c r="Q58" s="167" t="str">
        <f t="shared" si="38"/>
        <v>-</v>
      </c>
      <c r="R58" s="167">
        <f t="shared" si="36"/>
        <v>0</v>
      </c>
      <c r="S58" s="166">
        <v>259</v>
      </c>
      <c r="T58" s="166">
        <v>866</v>
      </c>
      <c r="U58" s="166">
        <v>806</v>
      </c>
      <c r="V58" s="166">
        <v>1053</v>
      </c>
      <c r="W58" s="166">
        <v>1113</v>
      </c>
      <c r="X58" s="167">
        <f t="shared" si="39"/>
        <v>5.6980056980056926E-2</v>
      </c>
      <c r="Y58" s="167">
        <f t="shared" si="40"/>
        <v>2.6507264252655907E-4</v>
      </c>
    </row>
    <row r="59" spans="1:25" x14ac:dyDescent="0.25">
      <c r="A59" s="58"/>
      <c r="B59" s="165" t="s">
        <v>122</v>
      </c>
      <c r="C59" s="166">
        <v>40</v>
      </c>
      <c r="D59" s="166">
        <v>80</v>
      </c>
      <c r="E59" s="166">
        <v>0</v>
      </c>
      <c r="F59" s="166">
        <v>0</v>
      </c>
      <c r="G59" s="166">
        <v>0</v>
      </c>
      <c r="H59" s="166">
        <v>0</v>
      </c>
      <c r="I59" s="167" t="str">
        <f t="shared" si="37"/>
        <v>-</v>
      </c>
      <c r="J59" s="167">
        <f t="shared" si="34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6">
        <v>0</v>
      </c>
      <c r="Q59" s="167" t="str">
        <f t="shared" si="38"/>
        <v>-</v>
      </c>
      <c r="R59" s="167">
        <f t="shared" si="36"/>
        <v>0</v>
      </c>
      <c r="S59" s="166">
        <v>175</v>
      </c>
      <c r="T59" s="166">
        <v>649</v>
      </c>
      <c r="U59" s="166">
        <v>683</v>
      </c>
      <c r="V59" s="166">
        <v>736</v>
      </c>
      <c r="W59" s="166">
        <v>908</v>
      </c>
      <c r="X59" s="167">
        <f t="shared" si="39"/>
        <v>0.23369565217391308</v>
      </c>
      <c r="Y59" s="167">
        <f t="shared" si="40"/>
        <v>2.1624973891654593E-4</v>
      </c>
    </row>
    <row r="60" spans="1:25" x14ac:dyDescent="0.25">
      <c r="A60" s="58"/>
      <c r="B60" s="165" t="s">
        <v>131</v>
      </c>
      <c r="C60" s="166">
        <v>0</v>
      </c>
      <c r="D60" s="166">
        <v>22</v>
      </c>
      <c r="E60" s="166">
        <v>0</v>
      </c>
      <c r="F60" s="166">
        <v>0</v>
      </c>
      <c r="G60" s="166">
        <v>0</v>
      </c>
      <c r="H60" s="166">
        <v>0</v>
      </c>
      <c r="I60" s="167" t="str">
        <f t="shared" si="37"/>
        <v>-</v>
      </c>
      <c r="J60" s="167">
        <f t="shared" si="34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6">
        <v>0</v>
      </c>
      <c r="Q60" s="167" t="str">
        <f t="shared" si="38"/>
        <v>-</v>
      </c>
      <c r="R60" s="167">
        <f t="shared" si="36"/>
        <v>0</v>
      </c>
      <c r="S60" s="166">
        <v>76</v>
      </c>
      <c r="T60" s="166">
        <v>132</v>
      </c>
      <c r="U60" s="166">
        <v>239</v>
      </c>
      <c r="V60" s="166">
        <v>145</v>
      </c>
      <c r="W60" s="166">
        <v>206</v>
      </c>
      <c r="X60" s="167">
        <f t="shared" si="39"/>
        <v>0.42068965517241375</v>
      </c>
      <c r="Y60" s="167">
        <f t="shared" si="40"/>
        <v>4.9061064115427821E-5</v>
      </c>
    </row>
    <row r="61" spans="1:25" x14ac:dyDescent="0.25">
      <c r="A61" s="58"/>
      <c r="B61" s="165" t="s">
        <v>134</v>
      </c>
      <c r="C61" s="166">
        <v>14</v>
      </c>
      <c r="D61" s="166">
        <v>14</v>
      </c>
      <c r="E61" s="166">
        <v>0</v>
      </c>
      <c r="F61" s="166">
        <v>0</v>
      </c>
      <c r="G61" s="166">
        <v>0</v>
      </c>
      <c r="H61" s="166">
        <v>0</v>
      </c>
      <c r="I61" s="167" t="str">
        <f t="shared" si="37"/>
        <v>-</v>
      </c>
      <c r="J61" s="167">
        <f t="shared" si="34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6">
        <v>0</v>
      </c>
      <c r="Q61" s="167" t="str">
        <f t="shared" si="38"/>
        <v>-</v>
      </c>
      <c r="R61" s="167">
        <f t="shared" si="36"/>
        <v>0</v>
      </c>
      <c r="S61" s="166">
        <v>119</v>
      </c>
      <c r="T61" s="166">
        <v>153</v>
      </c>
      <c r="U61" s="166">
        <v>195</v>
      </c>
      <c r="V61" s="166">
        <v>158</v>
      </c>
      <c r="W61" s="166">
        <v>477</v>
      </c>
      <c r="X61" s="167">
        <f t="shared" si="39"/>
        <v>2.018987341772152</v>
      </c>
      <c r="Y61" s="167">
        <f t="shared" si="40"/>
        <v>1.1360256108281103E-4</v>
      </c>
    </row>
    <row r="62" spans="1:25" x14ac:dyDescent="0.25">
      <c r="A62" s="58"/>
      <c r="B62" s="170" t="s">
        <v>148</v>
      </c>
      <c r="C62" s="171">
        <f t="shared" ref="C62" si="41">C54-SUM(C55:C61)</f>
        <v>324</v>
      </c>
      <c r="D62" s="171">
        <f t="shared" ref="D62:H62" si="42">D54-SUM(D55:D61)</f>
        <v>997</v>
      </c>
      <c r="E62" s="171">
        <f t="shared" si="42"/>
        <v>0</v>
      </c>
      <c r="F62" s="171">
        <f t="shared" si="42"/>
        <v>0</v>
      </c>
      <c r="G62" s="171">
        <f t="shared" si="42"/>
        <v>0</v>
      </c>
      <c r="H62" s="171">
        <f t="shared" si="42"/>
        <v>0</v>
      </c>
      <c r="I62" s="172" t="str">
        <f t="shared" si="37"/>
        <v>-</v>
      </c>
      <c r="J62" s="172">
        <f t="shared" si="34"/>
        <v>0</v>
      </c>
      <c r="K62" s="171">
        <f t="shared" ref="K62:P62" si="43">K54-SUM(K55:K61)</f>
        <v>0</v>
      </c>
      <c r="L62" s="171">
        <f t="shared" si="43"/>
        <v>0</v>
      </c>
      <c r="M62" s="171">
        <f t="shared" si="43"/>
        <v>0</v>
      </c>
      <c r="N62" s="171">
        <f t="shared" si="43"/>
        <v>0</v>
      </c>
      <c r="O62" s="171">
        <f t="shared" si="43"/>
        <v>0</v>
      </c>
      <c r="P62" s="171">
        <f t="shared" si="43"/>
        <v>0</v>
      </c>
      <c r="Q62" s="172" t="str">
        <f t="shared" si="38"/>
        <v>-</v>
      </c>
      <c r="R62" s="172">
        <f t="shared" si="36"/>
        <v>0</v>
      </c>
      <c r="S62" s="171">
        <f>S54-SUM(S55:S61)</f>
        <v>2364</v>
      </c>
      <c r="T62" s="171">
        <f>T54-SUM(T55:T61)</f>
        <v>9249</v>
      </c>
      <c r="U62" s="171">
        <f>U54-SUM(U55:U61)</f>
        <v>10298</v>
      </c>
      <c r="V62" s="171">
        <f>V54-SUM(V55:V61)</f>
        <v>10863</v>
      </c>
      <c r="W62" s="171">
        <f>W54-SUM(W55:W61)</f>
        <v>9982</v>
      </c>
      <c r="X62" s="172">
        <f t="shared" si="39"/>
        <v>-8.1100984994936898E-2</v>
      </c>
      <c r="Y62" s="172">
        <f t="shared" si="40"/>
        <v>2.3773181650495172E-3</v>
      </c>
    </row>
    <row r="63" spans="1:25" x14ac:dyDescent="0.25">
      <c r="A63" s="58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</row>
    <row r="64" spans="1:25" x14ac:dyDescent="0.25">
      <c r="A64" s="58"/>
      <c r="B64" s="158" t="s">
        <v>71</v>
      </c>
      <c r="C64" s="178">
        <f t="shared" ref="C64:H64" si="44">C65+C68</f>
        <v>1940</v>
      </c>
      <c r="D64" s="178">
        <f t="shared" si="44"/>
        <v>0</v>
      </c>
      <c r="E64" s="178">
        <f t="shared" si="44"/>
        <v>0</v>
      </c>
      <c r="F64" s="178">
        <f t="shared" si="44"/>
        <v>0</v>
      </c>
      <c r="G64" s="178">
        <f t="shared" si="44"/>
        <v>0</v>
      </c>
      <c r="H64" s="178">
        <f t="shared" si="44"/>
        <v>0</v>
      </c>
      <c r="I64" s="179" t="str">
        <f>IFERROR(H64/G64-1,"-")</f>
        <v>-</v>
      </c>
      <c r="J64" s="179">
        <f t="shared" ref="J64:J76" si="45">H64/H$8</f>
        <v>0</v>
      </c>
      <c r="K64" s="178">
        <f t="shared" ref="K64:P64" si="46">K65+K68</f>
        <v>38963</v>
      </c>
      <c r="L64" s="178">
        <f t="shared" si="46"/>
        <v>44291</v>
      </c>
      <c r="M64" s="178">
        <f t="shared" si="46"/>
        <v>0</v>
      </c>
      <c r="N64" s="178">
        <f t="shared" si="46"/>
        <v>85182</v>
      </c>
      <c r="O64" s="178">
        <f t="shared" si="46"/>
        <v>0</v>
      </c>
      <c r="P64" s="178">
        <f t="shared" si="46"/>
        <v>0</v>
      </c>
      <c r="Q64" s="179" t="str">
        <f>IFERROR(P64/O64-1,"-")</f>
        <v>-</v>
      </c>
      <c r="R64" s="179">
        <f t="shared" ref="R64:R76" si="47">P64/P$8</f>
        <v>0</v>
      </c>
      <c r="S64" s="178">
        <f>S65+S68</f>
        <v>51640</v>
      </c>
      <c r="T64" s="178">
        <f>T65+T68</f>
        <v>151473</v>
      </c>
      <c r="U64" s="178">
        <f>U65+U68</f>
        <v>164769</v>
      </c>
      <c r="V64" s="178">
        <f>V65+V68</f>
        <v>191595</v>
      </c>
      <c r="W64" s="178">
        <f>W65+W68</f>
        <v>151475</v>
      </c>
      <c r="X64" s="179">
        <f>IFERROR(W64/V64-1,"-")</f>
        <v>-0.20940003653540018</v>
      </c>
      <c r="Y64" s="179">
        <f>W64/W$8</f>
        <v>3.6075362557691407E-2</v>
      </c>
    </row>
    <row r="65" spans="1:25" x14ac:dyDescent="0.25">
      <c r="A65" s="58"/>
      <c r="B65" s="161" t="s">
        <v>100</v>
      </c>
      <c r="C65" s="162">
        <v>97</v>
      </c>
      <c r="D65" s="162">
        <v>0</v>
      </c>
      <c r="E65" s="162">
        <v>0</v>
      </c>
      <c r="F65" s="162">
        <v>0</v>
      </c>
      <c r="G65" s="162">
        <v>0</v>
      </c>
      <c r="H65" s="162">
        <v>0</v>
      </c>
      <c r="I65" s="163" t="str">
        <f>IFERROR(H65/G65-1,"-")</f>
        <v>-</v>
      </c>
      <c r="J65" s="163">
        <f t="shared" si="45"/>
        <v>0</v>
      </c>
      <c r="K65" s="162">
        <v>13336</v>
      </c>
      <c r="L65" s="162">
        <v>23633</v>
      </c>
      <c r="M65" s="162">
        <v>0</v>
      </c>
      <c r="N65" s="162">
        <v>32207</v>
      </c>
      <c r="O65" s="162">
        <v>0</v>
      </c>
      <c r="P65" s="162">
        <v>0</v>
      </c>
      <c r="Q65" s="163" t="str">
        <f>IFERROR(P65/O65-1,"-")</f>
        <v>-</v>
      </c>
      <c r="R65" s="163">
        <f t="shared" si="47"/>
        <v>0</v>
      </c>
      <c r="S65" s="162">
        <v>22085</v>
      </c>
      <c r="T65" s="162">
        <v>30941</v>
      </c>
      <c r="U65" s="162">
        <v>42327</v>
      </c>
      <c r="V65" s="162">
        <v>58550</v>
      </c>
      <c r="W65" s="162">
        <v>40777</v>
      </c>
      <c r="X65" s="163">
        <f>IFERROR(W65/V65-1,"-")</f>
        <v>-0.30355251921434667</v>
      </c>
      <c r="Y65" s="163">
        <f>W65/W$8</f>
        <v>9.7114709292951476E-3</v>
      </c>
    </row>
    <row r="66" spans="1:25" x14ac:dyDescent="0.25">
      <c r="A66" s="58"/>
      <c r="B66" s="165" t="s">
        <v>106</v>
      </c>
      <c r="C66" s="166">
        <v>57</v>
      </c>
      <c r="D66" s="166">
        <v>0</v>
      </c>
      <c r="E66" s="166">
        <v>0</v>
      </c>
      <c r="F66" s="166">
        <v>0</v>
      </c>
      <c r="G66" s="166">
        <v>0</v>
      </c>
      <c r="H66" s="166">
        <v>0</v>
      </c>
      <c r="I66" s="167" t="str">
        <f>IFERROR(H66/G66-1,"-")</f>
        <v>-</v>
      </c>
      <c r="J66" s="167">
        <f t="shared" si="45"/>
        <v>0</v>
      </c>
      <c r="K66" s="166">
        <v>4777</v>
      </c>
      <c r="L66" s="166">
        <v>20260</v>
      </c>
      <c r="M66" s="166">
        <v>0</v>
      </c>
      <c r="N66" s="166">
        <v>22733</v>
      </c>
      <c r="O66" s="166">
        <v>0</v>
      </c>
      <c r="P66" s="166">
        <v>0</v>
      </c>
      <c r="Q66" s="167" t="str">
        <f>IFERROR(P66/O66-1,"-")</f>
        <v>-</v>
      </c>
      <c r="R66" s="167">
        <f t="shared" si="47"/>
        <v>0</v>
      </c>
      <c r="S66" s="166">
        <v>7922</v>
      </c>
      <c r="T66" s="166">
        <v>22920</v>
      </c>
      <c r="U66" s="166">
        <v>28864</v>
      </c>
      <c r="V66" s="166">
        <v>34800</v>
      </c>
      <c r="W66" s="166">
        <v>14323</v>
      </c>
      <c r="X66" s="167">
        <f>IFERROR(W66/V66-1,"-")</f>
        <v>-0.58841954022988507</v>
      </c>
      <c r="Y66" s="167">
        <f>W66/W$8</f>
        <v>3.4111729190547217E-3</v>
      </c>
    </row>
    <row r="67" spans="1:25" x14ac:dyDescent="0.25">
      <c r="A67" s="58"/>
      <c r="B67" s="165" t="s">
        <v>103</v>
      </c>
      <c r="C67" s="166">
        <v>40</v>
      </c>
      <c r="D67" s="166">
        <v>0</v>
      </c>
      <c r="E67" s="166">
        <v>0</v>
      </c>
      <c r="F67" s="166">
        <v>0</v>
      </c>
      <c r="G67" s="166">
        <v>0</v>
      </c>
      <c r="H67" s="166">
        <v>0</v>
      </c>
      <c r="I67" s="167" t="str">
        <f>IFERROR(H67/G67-1,"-")</f>
        <v>-</v>
      </c>
      <c r="J67" s="167">
        <f t="shared" si="45"/>
        <v>0</v>
      </c>
      <c r="K67" s="166">
        <v>8559</v>
      </c>
      <c r="L67" s="166">
        <v>3373</v>
      </c>
      <c r="M67" s="166">
        <v>0</v>
      </c>
      <c r="N67" s="166">
        <v>9474</v>
      </c>
      <c r="O67" s="166">
        <v>0</v>
      </c>
      <c r="P67" s="166">
        <v>0</v>
      </c>
      <c r="Q67" s="167" t="str">
        <f>IFERROR(P67/O67-1,"-")</f>
        <v>-</v>
      </c>
      <c r="R67" s="167">
        <f t="shared" si="47"/>
        <v>0</v>
      </c>
      <c r="S67" s="166">
        <v>14163</v>
      </c>
      <c r="T67" s="166">
        <v>8021</v>
      </c>
      <c r="U67" s="166">
        <v>13463</v>
      </c>
      <c r="V67" s="166">
        <v>23750</v>
      </c>
      <c r="W67" s="166">
        <v>26454</v>
      </c>
      <c r="X67" s="167">
        <f>IFERROR(W67/V67-1,"-")</f>
        <v>0.11385263157894743</v>
      </c>
      <c r="Y67" s="167">
        <f>W67/W$8</f>
        <v>6.300298010240425E-3</v>
      </c>
    </row>
    <row r="68" spans="1:25" x14ac:dyDescent="0.25">
      <c r="A68" s="58"/>
      <c r="B68" s="161" t="s">
        <v>110</v>
      </c>
      <c r="C68" s="162">
        <v>1843</v>
      </c>
      <c r="D68" s="162">
        <v>0</v>
      </c>
      <c r="E68" s="162">
        <v>0</v>
      </c>
      <c r="F68" s="162">
        <v>0</v>
      </c>
      <c r="G68" s="162">
        <v>0</v>
      </c>
      <c r="H68" s="162">
        <v>0</v>
      </c>
      <c r="I68" s="163" t="str">
        <f>IFERROR(H68/G68-1,"-")</f>
        <v>-</v>
      </c>
      <c r="J68" s="163">
        <f t="shared" si="45"/>
        <v>0</v>
      </c>
      <c r="K68" s="162">
        <v>25627</v>
      </c>
      <c r="L68" s="162">
        <v>20658</v>
      </c>
      <c r="M68" s="162">
        <v>0</v>
      </c>
      <c r="N68" s="162">
        <v>52975</v>
      </c>
      <c r="O68" s="162">
        <v>0</v>
      </c>
      <c r="P68" s="162">
        <v>0</v>
      </c>
      <c r="Q68" s="163" t="str">
        <f>IFERROR(P68/O68-1,"-")</f>
        <v>-</v>
      </c>
      <c r="R68" s="163">
        <f t="shared" si="47"/>
        <v>0</v>
      </c>
      <c r="S68" s="162">
        <v>29555</v>
      </c>
      <c r="T68" s="162">
        <v>120532</v>
      </c>
      <c r="U68" s="162">
        <v>122442</v>
      </c>
      <c r="V68" s="162">
        <v>133045</v>
      </c>
      <c r="W68" s="162">
        <v>110698</v>
      </c>
      <c r="X68" s="163">
        <f>IFERROR(W68/V68-1,"-")</f>
        <v>-0.16796572588222025</v>
      </c>
      <c r="Y68" s="163">
        <f>W68/W$8</f>
        <v>2.6363891628396259E-2</v>
      </c>
    </row>
    <row r="69" spans="1:25" s="58" customFormat="1" x14ac:dyDescent="0.25">
      <c r="B69" s="165" t="s">
        <v>113</v>
      </c>
      <c r="C69" s="166">
        <v>217</v>
      </c>
      <c r="D69" s="166">
        <v>0</v>
      </c>
      <c r="E69" s="166">
        <v>0</v>
      </c>
      <c r="F69" s="166">
        <v>0</v>
      </c>
      <c r="G69" s="166">
        <v>0</v>
      </c>
      <c r="H69" s="166">
        <v>0</v>
      </c>
      <c r="I69" s="167" t="str">
        <f t="shared" ref="I69:I76" si="48">IFERROR(H69/G69-1,"-")</f>
        <v>-</v>
      </c>
      <c r="J69" s="167">
        <f t="shared" si="45"/>
        <v>0</v>
      </c>
      <c r="K69" s="166">
        <v>12352</v>
      </c>
      <c r="L69" s="166">
        <v>5486</v>
      </c>
      <c r="M69" s="166">
        <v>0</v>
      </c>
      <c r="N69" s="166">
        <v>21133</v>
      </c>
      <c r="O69" s="166">
        <v>0</v>
      </c>
      <c r="P69" s="166">
        <v>0</v>
      </c>
      <c r="Q69" s="167" t="str">
        <f t="shared" ref="Q69:Q76" si="49">IFERROR(P69/O69-1,"-")</f>
        <v>-</v>
      </c>
      <c r="R69" s="167">
        <f t="shared" si="47"/>
        <v>0</v>
      </c>
      <c r="S69" s="166">
        <v>13310</v>
      </c>
      <c r="T69" s="166">
        <v>52809</v>
      </c>
      <c r="U69" s="166">
        <v>47522</v>
      </c>
      <c r="V69" s="166">
        <v>45250</v>
      </c>
      <c r="W69" s="166">
        <v>46430</v>
      </c>
      <c r="X69" s="167">
        <f t="shared" ref="X69:X76" si="50">IFERROR(W69/V69-1,"-")</f>
        <v>2.6077348066298356E-2</v>
      </c>
      <c r="Y69" s="167">
        <f t="shared" ref="Y69:Y76" si="51">W69/W$8</f>
        <v>1.1057792266404435E-2</v>
      </c>
    </row>
    <row r="70" spans="1:25" s="58" customFormat="1" x14ac:dyDescent="0.25">
      <c r="B70" s="165" t="s">
        <v>116</v>
      </c>
      <c r="C70" s="166">
        <v>271</v>
      </c>
      <c r="D70" s="166">
        <v>0</v>
      </c>
      <c r="E70" s="166">
        <v>0</v>
      </c>
      <c r="F70" s="166">
        <v>0</v>
      </c>
      <c r="G70" s="166">
        <v>0</v>
      </c>
      <c r="H70" s="166">
        <v>0</v>
      </c>
      <c r="I70" s="167" t="str">
        <f t="shared" si="48"/>
        <v>-</v>
      </c>
      <c r="J70" s="167">
        <f t="shared" si="45"/>
        <v>0</v>
      </c>
      <c r="K70" s="166">
        <v>2792</v>
      </c>
      <c r="L70" s="166">
        <v>2729</v>
      </c>
      <c r="M70" s="166">
        <v>0</v>
      </c>
      <c r="N70" s="166">
        <v>6139</v>
      </c>
      <c r="O70" s="166">
        <v>0</v>
      </c>
      <c r="P70" s="166">
        <v>0</v>
      </c>
      <c r="Q70" s="167" t="str">
        <f t="shared" si="49"/>
        <v>-</v>
      </c>
      <c r="R70" s="167">
        <f t="shared" si="47"/>
        <v>0</v>
      </c>
      <c r="S70" s="166">
        <v>3222</v>
      </c>
      <c r="T70" s="166">
        <v>7009</v>
      </c>
      <c r="U70" s="166">
        <v>10647</v>
      </c>
      <c r="V70" s="166">
        <v>9892</v>
      </c>
      <c r="W70" s="166">
        <v>10514</v>
      </c>
      <c r="X70" s="167">
        <f t="shared" si="50"/>
        <v>6.2879094217549447E-2</v>
      </c>
      <c r="Y70" s="167">
        <f t="shared" si="51"/>
        <v>2.5040195539301367E-3</v>
      </c>
    </row>
    <row r="71" spans="1:25" x14ac:dyDescent="0.25">
      <c r="A71" s="58"/>
      <c r="B71" s="165" t="s">
        <v>119</v>
      </c>
      <c r="C71" s="166">
        <v>564</v>
      </c>
      <c r="D71" s="166">
        <v>0</v>
      </c>
      <c r="E71" s="166">
        <v>0</v>
      </c>
      <c r="F71" s="166">
        <v>0</v>
      </c>
      <c r="G71" s="166">
        <v>0</v>
      </c>
      <c r="H71" s="166">
        <v>0</v>
      </c>
      <c r="I71" s="167" t="str">
        <f t="shared" si="48"/>
        <v>-</v>
      </c>
      <c r="J71" s="167">
        <f t="shared" si="45"/>
        <v>0</v>
      </c>
      <c r="K71" s="166">
        <v>2470</v>
      </c>
      <c r="L71" s="166">
        <v>3553</v>
      </c>
      <c r="M71" s="166">
        <v>0</v>
      </c>
      <c r="N71" s="166">
        <v>5477</v>
      </c>
      <c r="O71" s="166">
        <v>0</v>
      </c>
      <c r="P71" s="166">
        <v>0</v>
      </c>
      <c r="Q71" s="167" t="str">
        <f t="shared" si="49"/>
        <v>-</v>
      </c>
      <c r="R71" s="167">
        <f t="shared" si="47"/>
        <v>0</v>
      </c>
      <c r="S71" s="166">
        <v>3375</v>
      </c>
      <c r="T71" s="166">
        <v>17604</v>
      </c>
      <c r="U71" s="166">
        <v>14089</v>
      </c>
      <c r="V71" s="166">
        <v>19078</v>
      </c>
      <c r="W71" s="166">
        <v>9779</v>
      </c>
      <c r="X71" s="167">
        <f t="shared" si="50"/>
        <v>-0.48742006499633084</v>
      </c>
      <c r="Y71" s="167">
        <f t="shared" si="51"/>
        <v>2.3289715824503336E-3</v>
      </c>
    </row>
    <row r="72" spans="1:25" x14ac:dyDescent="0.25">
      <c r="A72" s="58"/>
      <c r="B72" s="165" t="s">
        <v>126</v>
      </c>
      <c r="C72" s="166">
        <v>22</v>
      </c>
      <c r="D72" s="166">
        <v>0</v>
      </c>
      <c r="E72" s="166">
        <v>0</v>
      </c>
      <c r="F72" s="166">
        <v>0</v>
      </c>
      <c r="G72" s="166">
        <v>0</v>
      </c>
      <c r="H72" s="166">
        <v>0</v>
      </c>
      <c r="I72" s="167" t="str">
        <f t="shared" si="48"/>
        <v>-</v>
      </c>
      <c r="J72" s="167">
        <f t="shared" si="45"/>
        <v>0</v>
      </c>
      <c r="K72" s="166">
        <v>422</v>
      </c>
      <c r="L72" s="166">
        <v>818</v>
      </c>
      <c r="M72" s="166">
        <v>0</v>
      </c>
      <c r="N72" s="166">
        <v>1639</v>
      </c>
      <c r="O72" s="166">
        <v>0</v>
      </c>
      <c r="P72" s="166">
        <v>0</v>
      </c>
      <c r="Q72" s="167" t="str">
        <f t="shared" si="49"/>
        <v>-</v>
      </c>
      <c r="R72" s="167">
        <f t="shared" si="47"/>
        <v>0</v>
      </c>
      <c r="S72" s="166">
        <v>459</v>
      </c>
      <c r="T72" s="166">
        <v>2468</v>
      </c>
      <c r="U72" s="166">
        <v>3450</v>
      </c>
      <c r="V72" s="166">
        <v>4281</v>
      </c>
      <c r="W72" s="166">
        <v>2636</v>
      </c>
      <c r="X72" s="167">
        <f t="shared" si="50"/>
        <v>-0.38425601494977812</v>
      </c>
      <c r="Y72" s="167">
        <f t="shared" si="51"/>
        <v>6.2779109227314436E-4</v>
      </c>
    </row>
    <row r="73" spans="1:25" x14ac:dyDescent="0.25">
      <c r="A73" s="58"/>
      <c r="B73" s="165" t="s">
        <v>122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6">
        <v>0</v>
      </c>
      <c r="I73" s="167" t="str">
        <f t="shared" si="48"/>
        <v>-</v>
      </c>
      <c r="J73" s="167">
        <f t="shared" si="45"/>
        <v>0</v>
      </c>
      <c r="K73" s="166">
        <v>923</v>
      </c>
      <c r="L73" s="166">
        <v>1017</v>
      </c>
      <c r="M73" s="166">
        <v>0</v>
      </c>
      <c r="N73" s="166">
        <v>582</v>
      </c>
      <c r="O73" s="166">
        <v>0</v>
      </c>
      <c r="P73" s="166">
        <v>0</v>
      </c>
      <c r="Q73" s="167" t="str">
        <f t="shared" si="49"/>
        <v>-</v>
      </c>
      <c r="R73" s="167">
        <f t="shared" si="47"/>
        <v>0</v>
      </c>
      <c r="S73" s="166">
        <v>1163</v>
      </c>
      <c r="T73" s="166">
        <v>2853</v>
      </c>
      <c r="U73" s="166">
        <v>1813</v>
      </c>
      <c r="V73" s="166">
        <v>3870</v>
      </c>
      <c r="W73" s="166">
        <v>3064</v>
      </c>
      <c r="X73" s="167">
        <f t="shared" si="50"/>
        <v>-0.20826873385012923</v>
      </c>
      <c r="Y73" s="167">
        <f t="shared" si="51"/>
        <v>7.2972378859063522E-4</v>
      </c>
    </row>
    <row r="74" spans="1:25" x14ac:dyDescent="0.25">
      <c r="A74" s="58"/>
      <c r="B74" s="165" t="s">
        <v>131</v>
      </c>
      <c r="C74" s="166">
        <v>83</v>
      </c>
      <c r="D74" s="166">
        <v>0</v>
      </c>
      <c r="E74" s="166">
        <v>0</v>
      </c>
      <c r="F74" s="166">
        <v>0</v>
      </c>
      <c r="G74" s="166">
        <v>0</v>
      </c>
      <c r="H74" s="166">
        <v>0</v>
      </c>
      <c r="I74" s="167" t="str">
        <f t="shared" si="48"/>
        <v>-</v>
      </c>
      <c r="J74" s="167">
        <f t="shared" si="45"/>
        <v>0</v>
      </c>
      <c r="K74" s="166">
        <v>566</v>
      </c>
      <c r="L74" s="166">
        <v>128</v>
      </c>
      <c r="M74" s="166">
        <v>0</v>
      </c>
      <c r="N74" s="166">
        <v>422</v>
      </c>
      <c r="O74" s="166">
        <v>0</v>
      </c>
      <c r="P74" s="166">
        <v>0</v>
      </c>
      <c r="Q74" s="167" t="str">
        <f t="shared" si="49"/>
        <v>-</v>
      </c>
      <c r="R74" s="167">
        <f t="shared" si="47"/>
        <v>0</v>
      </c>
      <c r="S74" s="166">
        <v>651</v>
      </c>
      <c r="T74" s="166">
        <v>2685</v>
      </c>
      <c r="U74" s="166">
        <v>3726</v>
      </c>
      <c r="V74" s="166">
        <v>2300</v>
      </c>
      <c r="W74" s="166">
        <v>1042</v>
      </c>
      <c r="X74" s="167">
        <f t="shared" si="50"/>
        <v>-0.54695652173913045</v>
      </c>
      <c r="Y74" s="167">
        <f t="shared" si="51"/>
        <v>2.4816324664211551E-4</v>
      </c>
    </row>
    <row r="75" spans="1:25" x14ac:dyDescent="0.25">
      <c r="A75" s="58"/>
      <c r="B75" s="165" t="s">
        <v>134</v>
      </c>
      <c r="C75" s="166">
        <v>63</v>
      </c>
      <c r="D75" s="166">
        <v>0</v>
      </c>
      <c r="E75" s="166">
        <v>0</v>
      </c>
      <c r="F75" s="166">
        <v>0</v>
      </c>
      <c r="G75" s="166">
        <v>0</v>
      </c>
      <c r="H75" s="166">
        <v>0</v>
      </c>
      <c r="I75" s="167" t="str">
        <f t="shared" si="48"/>
        <v>-</v>
      </c>
      <c r="J75" s="167">
        <f t="shared" si="45"/>
        <v>0</v>
      </c>
      <c r="K75" s="166">
        <v>762</v>
      </c>
      <c r="L75" s="166">
        <v>59</v>
      </c>
      <c r="M75" s="166">
        <v>0</v>
      </c>
      <c r="N75" s="166">
        <v>93</v>
      </c>
      <c r="O75" s="166">
        <v>0</v>
      </c>
      <c r="P75" s="166">
        <v>0</v>
      </c>
      <c r="Q75" s="167" t="str">
        <f t="shared" si="49"/>
        <v>-</v>
      </c>
      <c r="R75" s="167">
        <f t="shared" si="47"/>
        <v>0</v>
      </c>
      <c r="S75" s="166">
        <v>907</v>
      </c>
      <c r="T75" s="166">
        <v>799</v>
      </c>
      <c r="U75" s="166">
        <v>1020</v>
      </c>
      <c r="V75" s="166">
        <v>628</v>
      </c>
      <c r="W75" s="166">
        <v>935</v>
      </c>
      <c r="X75" s="167">
        <f t="shared" si="50"/>
        <v>0.48885350318471343</v>
      </c>
      <c r="Y75" s="167">
        <f t="shared" si="51"/>
        <v>2.2268007256274279E-4</v>
      </c>
    </row>
    <row r="76" spans="1:25" x14ac:dyDescent="0.25">
      <c r="A76" s="58"/>
      <c r="B76" s="170" t="s">
        <v>148</v>
      </c>
      <c r="C76" s="171">
        <f t="shared" ref="C76" si="52">C68-SUM(C69:C75)</f>
        <v>623</v>
      </c>
      <c r="D76" s="171">
        <f t="shared" ref="D76:H76" si="53">D68-SUM(D69:D75)</f>
        <v>0</v>
      </c>
      <c r="E76" s="171">
        <f t="shared" si="53"/>
        <v>0</v>
      </c>
      <c r="F76" s="171">
        <f t="shared" si="53"/>
        <v>0</v>
      </c>
      <c r="G76" s="171">
        <f t="shared" si="53"/>
        <v>0</v>
      </c>
      <c r="H76" s="171">
        <f t="shared" si="53"/>
        <v>0</v>
      </c>
      <c r="I76" s="172" t="str">
        <f t="shared" si="48"/>
        <v>-</v>
      </c>
      <c r="J76" s="172">
        <f t="shared" si="45"/>
        <v>0</v>
      </c>
      <c r="K76" s="171">
        <f t="shared" ref="K76:P76" si="54">K68-SUM(K69:K75)</f>
        <v>5340</v>
      </c>
      <c r="L76" s="171">
        <f t="shared" si="54"/>
        <v>6868</v>
      </c>
      <c r="M76" s="171">
        <f t="shared" si="54"/>
        <v>0</v>
      </c>
      <c r="N76" s="171">
        <f t="shared" si="54"/>
        <v>17490</v>
      </c>
      <c r="O76" s="171">
        <f t="shared" si="54"/>
        <v>0</v>
      </c>
      <c r="P76" s="171">
        <f t="shared" si="54"/>
        <v>0</v>
      </c>
      <c r="Q76" s="172" t="str">
        <f t="shared" si="49"/>
        <v>-</v>
      </c>
      <c r="R76" s="172">
        <f t="shared" si="47"/>
        <v>0</v>
      </c>
      <c r="S76" s="171">
        <f>S68-SUM(S69:S75)</f>
        <v>6468</v>
      </c>
      <c r="T76" s="171">
        <f>T68-SUM(T69:T75)</f>
        <v>34305</v>
      </c>
      <c r="U76" s="171">
        <f>U68-SUM(U69:U75)</f>
        <v>40175</v>
      </c>
      <c r="V76" s="171">
        <f>V68-SUM(V69:V75)</f>
        <v>47746</v>
      </c>
      <c r="W76" s="171">
        <f>W68-SUM(W69:W75)</f>
        <v>36298</v>
      </c>
      <c r="X76" s="172">
        <f t="shared" si="50"/>
        <v>-0.23976877644200556</v>
      </c>
      <c r="Y76" s="172">
        <f t="shared" si="51"/>
        <v>8.6447500255427134E-3</v>
      </c>
    </row>
    <row r="77" spans="1:25" x14ac:dyDescent="0.25">
      <c r="A77" s="58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</row>
    <row r="78" spans="1:25" x14ac:dyDescent="0.25">
      <c r="A78" s="58"/>
      <c r="B78" s="158" t="s">
        <v>71</v>
      </c>
      <c r="C78" s="178">
        <f t="shared" ref="C78:H78" si="55">C79+C82</f>
        <v>32788</v>
      </c>
      <c r="D78" s="178">
        <f t="shared" si="55"/>
        <v>70827</v>
      </c>
      <c r="E78" s="178">
        <f t="shared" si="55"/>
        <v>98456</v>
      </c>
      <c r="F78" s="178">
        <f t="shared" si="55"/>
        <v>104893</v>
      </c>
      <c r="G78" s="178">
        <f t="shared" si="55"/>
        <v>118842</v>
      </c>
      <c r="H78" s="178">
        <f t="shared" si="55"/>
        <v>127700</v>
      </c>
      <c r="I78" s="179">
        <f>IFERROR(H78/G78-1,"-")</f>
        <v>7.4535938472930496E-2</v>
      </c>
      <c r="J78" s="179">
        <f t="shared" ref="J78:J90" si="56">H78/H$8</f>
        <v>0.16800155766518618</v>
      </c>
      <c r="K78" s="178">
        <f t="shared" ref="K78:P78" si="57">K79+K82</f>
        <v>135144</v>
      </c>
      <c r="L78" s="178">
        <f t="shared" si="57"/>
        <v>214429</v>
      </c>
      <c r="M78" s="178">
        <f t="shared" si="57"/>
        <v>476344</v>
      </c>
      <c r="N78" s="178">
        <f t="shared" si="57"/>
        <v>550170</v>
      </c>
      <c r="O78" s="178">
        <f t="shared" si="57"/>
        <v>623703</v>
      </c>
      <c r="P78" s="178">
        <f t="shared" si="57"/>
        <v>619427</v>
      </c>
      <c r="Q78" s="179">
        <f>IFERROR(P78/O78-1,"-")</f>
        <v>-6.8558272126316711E-3</v>
      </c>
      <c r="R78" s="179">
        <f t="shared" ref="R78:R90" si="58">P78/P$8</f>
        <v>0.18013212409090895</v>
      </c>
      <c r="S78" s="178">
        <f>S79+S82</f>
        <v>167932</v>
      </c>
      <c r="T78" s="178">
        <f>T79+T82</f>
        <v>574800</v>
      </c>
      <c r="U78" s="178">
        <f>U79+U82</f>
        <v>655063</v>
      </c>
      <c r="V78" s="178">
        <f>V79+V82</f>
        <v>742545</v>
      </c>
      <c r="W78" s="178">
        <f>W79+W82</f>
        <v>747127</v>
      </c>
      <c r="X78" s="179">
        <f>IFERROR(W78/V78-1,"-")</f>
        <v>6.1706697910564046E-3</v>
      </c>
      <c r="Y78" s="179">
        <f>W78/W$8</f>
        <v>0.1779361439289672</v>
      </c>
    </row>
    <row r="79" spans="1:25" x14ac:dyDescent="0.25">
      <c r="A79" s="58"/>
      <c r="B79" s="161" t="s">
        <v>100</v>
      </c>
      <c r="C79" s="162">
        <v>14350</v>
      </c>
      <c r="D79" s="162">
        <v>38077</v>
      </c>
      <c r="E79" s="162">
        <v>48839</v>
      </c>
      <c r="F79" s="162">
        <v>50783</v>
      </c>
      <c r="G79" s="162">
        <v>56114</v>
      </c>
      <c r="H79" s="162">
        <v>64071</v>
      </c>
      <c r="I79" s="163">
        <f>IFERROR(H79/G79-1,"-")</f>
        <v>0.14180062016609041</v>
      </c>
      <c r="J79" s="163">
        <f t="shared" si="56"/>
        <v>8.4291525459405978E-2</v>
      </c>
      <c r="K79" s="162">
        <v>62185</v>
      </c>
      <c r="L79" s="162">
        <v>109519</v>
      </c>
      <c r="M79" s="162">
        <v>230615</v>
      </c>
      <c r="N79" s="162">
        <v>229750</v>
      </c>
      <c r="O79" s="162">
        <v>243834</v>
      </c>
      <c r="P79" s="162">
        <v>244197</v>
      </c>
      <c r="Q79" s="163">
        <f>IFERROR(P79/O79-1,"-")</f>
        <v>1.4887177341962321E-3</v>
      </c>
      <c r="R79" s="163">
        <f t="shared" si="58"/>
        <v>7.101357271579653E-2</v>
      </c>
      <c r="S79" s="162">
        <v>76535</v>
      </c>
      <c r="T79" s="162">
        <v>279454</v>
      </c>
      <c r="U79" s="162">
        <v>280533</v>
      </c>
      <c r="V79" s="162">
        <v>299948</v>
      </c>
      <c r="W79" s="162">
        <v>308268</v>
      </c>
      <c r="X79" s="163">
        <f>IFERROR(W79/V79-1,"-")</f>
        <v>2.7738141277821482E-2</v>
      </c>
      <c r="Y79" s="163">
        <f>W79/W$8</f>
        <v>7.3417262683178178E-2</v>
      </c>
    </row>
    <row r="80" spans="1:25" x14ac:dyDescent="0.25">
      <c r="A80" s="58"/>
      <c r="B80" s="165" t="s">
        <v>106</v>
      </c>
      <c r="C80" s="166">
        <v>7027</v>
      </c>
      <c r="D80" s="166">
        <v>24218</v>
      </c>
      <c r="E80" s="166">
        <v>29828</v>
      </c>
      <c r="F80" s="166">
        <v>31545</v>
      </c>
      <c r="G80" s="166">
        <v>30462</v>
      </c>
      <c r="H80" s="166">
        <v>32705</v>
      </c>
      <c r="I80" s="167">
        <f>IFERROR(H80/G80-1,"-")</f>
        <v>7.3632722736524103E-2</v>
      </c>
      <c r="J80" s="167">
        <f t="shared" si="56"/>
        <v>4.3026553981518514E-2</v>
      </c>
      <c r="K80" s="166">
        <v>11101</v>
      </c>
      <c r="L80" s="166">
        <v>24585</v>
      </c>
      <c r="M80" s="166">
        <v>36378</v>
      </c>
      <c r="N80" s="166">
        <v>29406</v>
      </c>
      <c r="O80" s="166">
        <v>41998</v>
      </c>
      <c r="P80" s="166">
        <v>39469</v>
      </c>
      <c r="Q80" s="167">
        <f>IFERROR(P80/O80-1,"-")</f>
        <v>-6.0217153197771323E-2</v>
      </c>
      <c r="R80" s="167">
        <f t="shared" si="58"/>
        <v>1.147776058477284E-2</v>
      </c>
      <c r="S80" s="166">
        <v>18128</v>
      </c>
      <c r="T80" s="166">
        <v>66206</v>
      </c>
      <c r="U80" s="166">
        <v>60951</v>
      </c>
      <c r="V80" s="166">
        <v>72460</v>
      </c>
      <c r="W80" s="166">
        <v>72174</v>
      </c>
      <c r="X80" s="167">
        <f>IFERROR(W80/V80-1,"-")</f>
        <v>-3.9470052442727166E-3</v>
      </c>
      <c r="Y80" s="167">
        <f>W80/W$8</f>
        <v>1.7188996317800426E-2</v>
      </c>
    </row>
    <row r="81" spans="1:25" x14ac:dyDescent="0.25">
      <c r="A81" s="58"/>
      <c r="B81" s="165" t="s">
        <v>103</v>
      </c>
      <c r="C81" s="166">
        <v>7323</v>
      </c>
      <c r="D81" s="166">
        <v>13859</v>
      </c>
      <c r="E81" s="166">
        <v>19011</v>
      </c>
      <c r="F81" s="166">
        <v>19238</v>
      </c>
      <c r="G81" s="166">
        <v>25652</v>
      </c>
      <c r="H81" s="166">
        <v>31366</v>
      </c>
      <c r="I81" s="167">
        <f>IFERROR(H81/G81-1,"-")</f>
        <v>0.22275066271635735</v>
      </c>
      <c r="J81" s="167">
        <f t="shared" si="56"/>
        <v>4.126497147788747E-2</v>
      </c>
      <c r="K81" s="166">
        <v>51084</v>
      </c>
      <c r="L81" s="166">
        <v>84934</v>
      </c>
      <c r="M81" s="166">
        <v>194237</v>
      </c>
      <c r="N81" s="166">
        <v>200344</v>
      </c>
      <c r="O81" s="166">
        <v>201836</v>
      </c>
      <c r="P81" s="166">
        <v>204728</v>
      </c>
      <c r="Q81" s="167">
        <f>IFERROR(P81/O81-1,"-")</f>
        <v>1.4328464694107979E-2</v>
      </c>
      <c r="R81" s="167">
        <f t="shared" si="58"/>
        <v>5.9535812131023685E-2</v>
      </c>
      <c r="S81" s="166">
        <v>58407</v>
      </c>
      <c r="T81" s="166">
        <v>213248</v>
      </c>
      <c r="U81" s="166">
        <v>219582</v>
      </c>
      <c r="V81" s="166">
        <v>227488</v>
      </c>
      <c r="W81" s="166">
        <v>236094</v>
      </c>
      <c r="X81" s="167">
        <f>IFERROR(W81/V81-1,"-")</f>
        <v>3.783056688704467E-2</v>
      </c>
      <c r="Y81" s="167">
        <f>W81/W$8</f>
        <v>5.6228266365377748E-2</v>
      </c>
    </row>
    <row r="82" spans="1:25" x14ac:dyDescent="0.25">
      <c r="A82" s="58"/>
      <c r="B82" s="161" t="s">
        <v>110</v>
      </c>
      <c r="C82" s="162">
        <v>18438</v>
      </c>
      <c r="D82" s="162">
        <v>32750</v>
      </c>
      <c r="E82" s="162">
        <v>49617</v>
      </c>
      <c r="F82" s="162">
        <v>54110</v>
      </c>
      <c r="G82" s="162">
        <v>62728</v>
      </c>
      <c r="H82" s="162">
        <v>63629</v>
      </c>
      <c r="I82" s="163">
        <f>IFERROR(H82/G82-1,"-")</f>
        <v>1.4363601581431018E-2</v>
      </c>
      <c r="J82" s="163">
        <f t="shared" si="56"/>
        <v>8.3710032205780202E-2</v>
      </c>
      <c r="K82" s="162">
        <v>72959</v>
      </c>
      <c r="L82" s="162">
        <v>104910</v>
      </c>
      <c r="M82" s="162">
        <v>245729</v>
      </c>
      <c r="N82" s="162">
        <v>320420</v>
      </c>
      <c r="O82" s="162">
        <v>379869</v>
      </c>
      <c r="P82" s="162">
        <v>375230</v>
      </c>
      <c r="Q82" s="163">
        <f>IFERROR(P82/O82-1,"-")</f>
        <v>-1.2212104699251602E-2</v>
      </c>
      <c r="R82" s="163">
        <f t="shared" si="58"/>
        <v>0.10911855137511244</v>
      </c>
      <c r="S82" s="162">
        <v>91397</v>
      </c>
      <c r="T82" s="162">
        <v>295346</v>
      </c>
      <c r="U82" s="162">
        <v>374530</v>
      </c>
      <c r="V82" s="162">
        <v>442597</v>
      </c>
      <c r="W82" s="162">
        <v>438859</v>
      </c>
      <c r="X82" s="163">
        <f>IFERROR(W82/V82-1,"-")</f>
        <v>-8.4456062738789139E-3</v>
      </c>
      <c r="Y82" s="163">
        <f>W82/W$8</f>
        <v>0.10451888124578902</v>
      </c>
    </row>
    <row r="83" spans="1:25" s="58" customFormat="1" x14ac:dyDescent="0.25">
      <c r="B83" s="165" t="s">
        <v>113</v>
      </c>
      <c r="C83" s="166">
        <v>2533</v>
      </c>
      <c r="D83" s="166">
        <v>3228</v>
      </c>
      <c r="E83" s="166">
        <v>5828</v>
      </c>
      <c r="F83" s="166">
        <v>7066</v>
      </c>
      <c r="G83" s="166">
        <v>9146</v>
      </c>
      <c r="H83" s="166">
        <v>9299</v>
      </c>
      <c r="I83" s="167">
        <f t="shared" ref="I83:I90" si="59">IFERROR(H83/G83-1,"-")</f>
        <v>1.6728624535315983E-2</v>
      </c>
      <c r="J83" s="167">
        <f t="shared" si="56"/>
        <v>1.2233723451280864E-2</v>
      </c>
      <c r="K83" s="166">
        <v>14912</v>
      </c>
      <c r="L83" s="166">
        <v>11210</v>
      </c>
      <c r="M83" s="166">
        <v>56300</v>
      </c>
      <c r="N83" s="166">
        <v>75623</v>
      </c>
      <c r="O83" s="166">
        <v>87361</v>
      </c>
      <c r="P83" s="166">
        <v>91968</v>
      </c>
      <c r="Q83" s="167">
        <f t="shared" ref="Q83:Q90" si="60">IFERROR(P83/O83-1,"-")</f>
        <v>5.2735202206934506E-2</v>
      </c>
      <c r="R83" s="167">
        <f t="shared" si="58"/>
        <v>2.6744703069760786E-2</v>
      </c>
      <c r="S83" s="166">
        <v>17445</v>
      </c>
      <c r="T83" s="166">
        <v>62128</v>
      </c>
      <c r="U83" s="166">
        <v>82689</v>
      </c>
      <c r="V83" s="166">
        <v>96507</v>
      </c>
      <c r="W83" s="166">
        <v>101267</v>
      </c>
      <c r="X83" s="167">
        <f t="shared" ref="X83:X90" si="61">IFERROR(W83/V83-1,"-")</f>
        <v>4.9322847047364338E-2</v>
      </c>
      <c r="Y83" s="167">
        <f t="shared" ref="Y83:Y90" si="62">W83/W$8</f>
        <v>2.4117799901830241E-2</v>
      </c>
    </row>
    <row r="84" spans="1:25" s="58" customFormat="1" x14ac:dyDescent="0.25">
      <c r="B84" s="165" t="s">
        <v>116</v>
      </c>
      <c r="C84" s="166">
        <v>5333</v>
      </c>
      <c r="D84" s="166">
        <v>8563</v>
      </c>
      <c r="E84" s="166">
        <v>13220</v>
      </c>
      <c r="F84" s="166">
        <v>14970</v>
      </c>
      <c r="G84" s="166">
        <v>15604</v>
      </c>
      <c r="H84" s="166">
        <v>14631</v>
      </c>
      <c r="I84" s="167">
        <f t="shared" si="59"/>
        <v>-6.2355806203537534E-2</v>
      </c>
      <c r="J84" s="167">
        <f t="shared" si="56"/>
        <v>1.9248479171490519E-2</v>
      </c>
      <c r="K84" s="166">
        <v>26597</v>
      </c>
      <c r="L84" s="166">
        <v>36097</v>
      </c>
      <c r="M84" s="166">
        <v>84214</v>
      </c>
      <c r="N84" s="166">
        <v>97137</v>
      </c>
      <c r="O84" s="166">
        <v>107979</v>
      </c>
      <c r="P84" s="166">
        <v>105125</v>
      </c>
      <c r="Q84" s="167">
        <f t="shared" si="60"/>
        <v>-2.6431065299734158E-2</v>
      </c>
      <c r="R84" s="167">
        <f t="shared" si="58"/>
        <v>3.057081713431414E-2</v>
      </c>
      <c r="S84" s="166">
        <v>31930</v>
      </c>
      <c r="T84" s="166">
        <v>97434</v>
      </c>
      <c r="U84" s="166">
        <v>112107</v>
      </c>
      <c r="V84" s="166">
        <v>123583</v>
      </c>
      <c r="W84" s="166">
        <v>119756</v>
      </c>
      <c r="X84" s="167">
        <f t="shared" si="61"/>
        <v>-3.0967042392562094E-2</v>
      </c>
      <c r="Y84" s="167">
        <f t="shared" si="62"/>
        <v>2.8521149486442594E-2</v>
      </c>
    </row>
    <row r="85" spans="1:25" x14ac:dyDescent="0.25">
      <c r="A85" s="58"/>
      <c r="B85" s="165" t="s">
        <v>119</v>
      </c>
      <c r="C85" s="166">
        <v>1687</v>
      </c>
      <c r="D85" s="166">
        <v>5280</v>
      </c>
      <c r="E85" s="166">
        <v>5870</v>
      </c>
      <c r="F85" s="166">
        <v>5310</v>
      </c>
      <c r="G85" s="166">
        <v>6020</v>
      </c>
      <c r="H85" s="166">
        <v>6184</v>
      </c>
      <c r="I85" s="167">
        <f t="shared" si="59"/>
        <v>2.7242524916943456E-2</v>
      </c>
      <c r="J85" s="167">
        <f t="shared" si="56"/>
        <v>8.1356431683751868E-3</v>
      </c>
      <c r="K85" s="166">
        <v>5090</v>
      </c>
      <c r="L85" s="166">
        <v>11108</v>
      </c>
      <c r="M85" s="166">
        <v>20133</v>
      </c>
      <c r="N85" s="166">
        <v>32432</v>
      </c>
      <c r="O85" s="166">
        <v>46149</v>
      </c>
      <c r="P85" s="166">
        <v>40975</v>
      </c>
      <c r="Q85" s="167">
        <f t="shared" si="60"/>
        <v>-0.11211510541940239</v>
      </c>
      <c r="R85" s="167">
        <f t="shared" si="58"/>
        <v>1.1915712076846819E-2</v>
      </c>
      <c r="S85" s="166">
        <v>6777</v>
      </c>
      <c r="T85" s="166">
        <v>26003</v>
      </c>
      <c r="U85" s="166">
        <v>37742</v>
      </c>
      <c r="V85" s="166">
        <v>52169</v>
      </c>
      <c r="W85" s="166">
        <v>47159</v>
      </c>
      <c r="X85" s="167">
        <f t="shared" si="61"/>
        <v>-9.6034043205735165E-2</v>
      </c>
      <c r="Y85" s="167">
        <f t="shared" si="62"/>
        <v>1.1231411274851751E-2</v>
      </c>
    </row>
    <row r="86" spans="1:25" x14ac:dyDescent="0.25">
      <c r="A86" s="58"/>
      <c r="B86" s="165" t="s">
        <v>126</v>
      </c>
      <c r="C86" s="166">
        <v>271</v>
      </c>
      <c r="D86" s="166">
        <v>921</v>
      </c>
      <c r="E86" s="166">
        <v>1133</v>
      </c>
      <c r="F86" s="166">
        <v>1155</v>
      </c>
      <c r="G86" s="166">
        <v>1481</v>
      </c>
      <c r="H86" s="166">
        <v>1612</v>
      </c>
      <c r="I86" s="167">
        <f t="shared" si="59"/>
        <v>8.8453747467927002E-2</v>
      </c>
      <c r="J86" s="167">
        <f t="shared" si="56"/>
        <v>2.1207401014587323E-3</v>
      </c>
      <c r="K86" s="166">
        <v>1175</v>
      </c>
      <c r="L86" s="166">
        <v>2935</v>
      </c>
      <c r="M86" s="166">
        <v>4473</v>
      </c>
      <c r="N86" s="166">
        <v>6846</v>
      </c>
      <c r="O86" s="166">
        <v>11371</v>
      </c>
      <c r="P86" s="166">
        <v>11141</v>
      </c>
      <c r="Q86" s="167">
        <f t="shared" si="60"/>
        <v>-2.0226892973353228E-2</v>
      </c>
      <c r="R86" s="167">
        <f t="shared" si="58"/>
        <v>3.2398523062391804E-3</v>
      </c>
      <c r="S86" s="166">
        <v>1446</v>
      </c>
      <c r="T86" s="166">
        <v>5606</v>
      </c>
      <c r="U86" s="166">
        <v>8001</v>
      </c>
      <c r="V86" s="166">
        <v>12852</v>
      </c>
      <c r="W86" s="166">
        <v>12753</v>
      </c>
      <c r="X86" s="167">
        <f t="shared" si="61"/>
        <v>-7.7030812324929698E-3</v>
      </c>
      <c r="Y86" s="167">
        <f t="shared" si="62"/>
        <v>3.0372609255536458E-3</v>
      </c>
    </row>
    <row r="87" spans="1:25" x14ac:dyDescent="0.25">
      <c r="A87" s="58"/>
      <c r="B87" s="165" t="s">
        <v>122</v>
      </c>
      <c r="C87" s="166">
        <v>232</v>
      </c>
      <c r="D87" s="166">
        <v>804</v>
      </c>
      <c r="E87" s="166">
        <v>921</v>
      </c>
      <c r="F87" s="166">
        <v>774</v>
      </c>
      <c r="G87" s="166">
        <v>909</v>
      </c>
      <c r="H87" s="166">
        <v>892</v>
      </c>
      <c r="I87" s="167">
        <f t="shared" si="59"/>
        <v>-1.8701870187018743E-2</v>
      </c>
      <c r="J87" s="167">
        <f t="shared" si="56"/>
        <v>1.1735112720230702E-3</v>
      </c>
      <c r="K87" s="166">
        <v>1562</v>
      </c>
      <c r="L87" s="166">
        <v>3904</v>
      </c>
      <c r="M87" s="166">
        <v>4162</v>
      </c>
      <c r="N87" s="166">
        <v>5572</v>
      </c>
      <c r="O87" s="166">
        <v>7126</v>
      </c>
      <c r="P87" s="166">
        <v>7672</v>
      </c>
      <c r="Q87" s="167">
        <f t="shared" si="60"/>
        <v>7.6620825147347693E-2</v>
      </c>
      <c r="R87" s="167">
        <f t="shared" si="58"/>
        <v>2.2310516913622647E-3</v>
      </c>
      <c r="S87" s="166">
        <v>1794</v>
      </c>
      <c r="T87" s="166">
        <v>5083</v>
      </c>
      <c r="U87" s="166">
        <v>6346</v>
      </c>
      <c r="V87" s="166">
        <v>8035</v>
      </c>
      <c r="W87" s="166">
        <v>8564</v>
      </c>
      <c r="X87" s="167">
        <f t="shared" si="61"/>
        <v>6.5836963285625494E-2</v>
      </c>
      <c r="Y87" s="167">
        <f t="shared" si="62"/>
        <v>2.0396065683714751E-3</v>
      </c>
    </row>
    <row r="88" spans="1:25" x14ac:dyDescent="0.25">
      <c r="A88" s="58"/>
      <c r="B88" s="165" t="s">
        <v>131</v>
      </c>
      <c r="C88" s="166">
        <v>286</v>
      </c>
      <c r="D88" s="166">
        <v>296</v>
      </c>
      <c r="E88" s="166">
        <v>433</v>
      </c>
      <c r="F88" s="166">
        <v>451</v>
      </c>
      <c r="G88" s="166">
        <v>500</v>
      </c>
      <c r="H88" s="166">
        <v>595</v>
      </c>
      <c r="I88" s="167">
        <f t="shared" si="59"/>
        <v>0.18999999999999995</v>
      </c>
      <c r="J88" s="167">
        <f t="shared" si="56"/>
        <v>7.8277937988085967E-4</v>
      </c>
      <c r="K88" s="166">
        <v>1422</v>
      </c>
      <c r="L88" s="166">
        <v>781</v>
      </c>
      <c r="M88" s="166">
        <v>2952</v>
      </c>
      <c r="N88" s="166">
        <v>3352</v>
      </c>
      <c r="O88" s="166">
        <v>3068</v>
      </c>
      <c r="P88" s="166">
        <v>3215</v>
      </c>
      <c r="Q88" s="167">
        <f t="shared" si="60"/>
        <v>4.7913950456323295E-2</v>
      </c>
      <c r="R88" s="167">
        <f t="shared" si="58"/>
        <v>9.3493628620042765E-4</v>
      </c>
      <c r="S88" s="166">
        <v>1708</v>
      </c>
      <c r="T88" s="166">
        <v>3385</v>
      </c>
      <c r="U88" s="166">
        <v>3803</v>
      </c>
      <c r="V88" s="166">
        <v>3568</v>
      </c>
      <c r="W88" s="166">
        <v>3810</v>
      </c>
      <c r="X88" s="167">
        <f t="shared" si="61"/>
        <v>6.7825112107623209E-2</v>
      </c>
      <c r="Y88" s="167">
        <f t="shared" si="62"/>
        <v>9.0739152563000004E-4</v>
      </c>
    </row>
    <row r="89" spans="1:25" x14ac:dyDescent="0.25">
      <c r="A89" s="58"/>
      <c r="B89" s="165" t="s">
        <v>134</v>
      </c>
      <c r="C89" s="166">
        <v>403</v>
      </c>
      <c r="D89" s="166">
        <v>385</v>
      </c>
      <c r="E89" s="166">
        <v>658</v>
      </c>
      <c r="F89" s="166">
        <v>678</v>
      </c>
      <c r="G89" s="166">
        <v>636</v>
      </c>
      <c r="H89" s="166">
        <v>767</v>
      </c>
      <c r="I89" s="167">
        <f t="shared" si="59"/>
        <v>0.20597484276729561</v>
      </c>
      <c r="J89" s="167">
        <f t="shared" si="56"/>
        <v>1.0090618224682679E-3</v>
      </c>
      <c r="K89" s="166">
        <v>1920</v>
      </c>
      <c r="L89" s="166">
        <v>947</v>
      </c>
      <c r="M89" s="166">
        <v>3040</v>
      </c>
      <c r="N89" s="166">
        <v>3739</v>
      </c>
      <c r="O89" s="166">
        <v>4092</v>
      </c>
      <c r="P89" s="166">
        <v>2810</v>
      </c>
      <c r="Q89" s="167">
        <f t="shared" si="60"/>
        <v>-0.31329423264907141</v>
      </c>
      <c r="R89" s="167">
        <f t="shared" si="58"/>
        <v>8.1716048653909855E-4</v>
      </c>
      <c r="S89" s="166">
        <v>2323</v>
      </c>
      <c r="T89" s="166">
        <v>3698</v>
      </c>
      <c r="U89" s="166">
        <v>4417</v>
      </c>
      <c r="V89" s="166">
        <v>4728</v>
      </c>
      <c r="W89" s="166">
        <v>3577</v>
      </c>
      <c r="X89" s="167">
        <f t="shared" si="61"/>
        <v>-0.24344331641285955</v>
      </c>
      <c r="Y89" s="167">
        <f t="shared" si="62"/>
        <v>8.5190012786837534E-4</v>
      </c>
    </row>
    <row r="90" spans="1:25" x14ac:dyDescent="0.25">
      <c r="A90" s="58"/>
      <c r="B90" s="170" t="s">
        <v>148</v>
      </c>
      <c r="C90" s="171">
        <f t="shared" ref="C90" si="63">C82-SUM(C83:C89)</f>
        <v>7693</v>
      </c>
      <c r="D90" s="171">
        <f t="shared" ref="D90:H90" si="64">D82-SUM(D83:D89)</f>
        <v>13273</v>
      </c>
      <c r="E90" s="171">
        <f t="shared" si="64"/>
        <v>21554</v>
      </c>
      <c r="F90" s="171">
        <f t="shared" si="64"/>
        <v>23706</v>
      </c>
      <c r="G90" s="171">
        <f t="shared" si="64"/>
        <v>28432</v>
      </c>
      <c r="H90" s="171">
        <f t="shared" si="64"/>
        <v>29649</v>
      </c>
      <c r="I90" s="172">
        <f t="shared" si="59"/>
        <v>4.2803882948790006E-2</v>
      </c>
      <c r="J90" s="172">
        <f t="shared" si="56"/>
        <v>3.90060938388027E-2</v>
      </c>
      <c r="K90" s="171">
        <f t="shared" ref="K90:P90" si="65">K82-SUM(K83:K89)</f>
        <v>20281</v>
      </c>
      <c r="L90" s="171">
        <f t="shared" si="65"/>
        <v>37928</v>
      </c>
      <c r="M90" s="171">
        <f t="shared" si="65"/>
        <v>70455</v>
      </c>
      <c r="N90" s="171">
        <f t="shared" si="65"/>
        <v>95719</v>
      </c>
      <c r="O90" s="171">
        <f t="shared" si="65"/>
        <v>112723</v>
      </c>
      <c r="P90" s="171">
        <f t="shared" si="65"/>
        <v>112324</v>
      </c>
      <c r="Q90" s="172">
        <f t="shared" si="60"/>
        <v>-3.5396502931965834E-3</v>
      </c>
      <c r="R90" s="172">
        <f t="shared" si="58"/>
        <v>3.2664318323849716E-2</v>
      </c>
      <c r="S90" s="171">
        <f>S82-SUM(S83:S89)</f>
        <v>27974</v>
      </c>
      <c r="T90" s="171">
        <f>T82-SUM(T83:T89)</f>
        <v>92009</v>
      </c>
      <c r="U90" s="171">
        <f>U82-SUM(U83:U89)</f>
        <v>119425</v>
      </c>
      <c r="V90" s="171">
        <f>V82-SUM(V83:V89)</f>
        <v>141155</v>
      </c>
      <c r="W90" s="171">
        <f>W82-SUM(W83:W89)</f>
        <v>141973</v>
      </c>
      <c r="X90" s="172">
        <f t="shared" si="61"/>
        <v>5.7950479968829072E-3</v>
      </c>
      <c r="Y90" s="172">
        <f t="shared" si="62"/>
        <v>3.3812361435240947E-2</v>
      </c>
    </row>
    <row r="91" spans="1:25" x14ac:dyDescent="0.25">
      <c r="A91" s="58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55"/>
    </row>
    <row r="92" spans="1:25" x14ac:dyDescent="0.25">
      <c r="A92" s="58"/>
      <c r="B92" s="158" t="s">
        <v>71</v>
      </c>
      <c r="C92" s="178">
        <f t="shared" ref="C92:H92" si="66">C93+C96</f>
        <v>4061</v>
      </c>
      <c r="D92" s="178">
        <f t="shared" si="66"/>
        <v>0</v>
      </c>
      <c r="E92" s="178">
        <f t="shared" si="66"/>
        <v>4766</v>
      </c>
      <c r="F92" s="178">
        <f t="shared" si="66"/>
        <v>7355</v>
      </c>
      <c r="G92" s="178">
        <f t="shared" si="66"/>
        <v>7923</v>
      </c>
      <c r="H92" s="178">
        <f t="shared" si="66"/>
        <v>8662</v>
      </c>
      <c r="I92" s="179">
        <f>IFERROR(H92/G92-1,"-")</f>
        <v>9.3272750220875889E-2</v>
      </c>
      <c r="J92" s="179">
        <f t="shared" ref="J92:J104" si="67">H92/H$8</f>
        <v>1.139568905634959E-2</v>
      </c>
      <c r="K92" s="178">
        <f t="shared" ref="K92:P92" si="68">K93+K96</f>
        <v>8693</v>
      </c>
      <c r="L92" s="178">
        <f t="shared" si="68"/>
        <v>0</v>
      </c>
      <c r="M92" s="178">
        <f t="shared" si="68"/>
        <v>34275</v>
      </c>
      <c r="N92" s="178">
        <f t="shared" si="68"/>
        <v>46157</v>
      </c>
      <c r="O92" s="178">
        <f t="shared" si="68"/>
        <v>49465</v>
      </c>
      <c r="P92" s="178">
        <f t="shared" si="68"/>
        <v>47923</v>
      </c>
      <c r="Q92" s="179">
        <f>IFERROR(P92/O92-1,"-")</f>
        <v>-3.1173557060547807E-2</v>
      </c>
      <c r="R92" s="179">
        <f t="shared" ref="R92:R104" si="69">P92/P$8</f>
        <v>1.3936221351036733E-2</v>
      </c>
      <c r="S92" s="178">
        <f>S93+S96</f>
        <v>22616</v>
      </c>
      <c r="T92" s="178">
        <f>T93+T96</f>
        <v>51485</v>
      </c>
      <c r="U92" s="178">
        <f>U93+U96</f>
        <v>58157</v>
      </c>
      <c r="V92" s="178">
        <f>V93+V96</f>
        <v>57388</v>
      </c>
      <c r="W92" s="178">
        <f>W93+W96</f>
        <v>56585</v>
      </c>
      <c r="X92" s="179">
        <f>IFERROR(W92/V92-1,"-")</f>
        <v>-1.3992472293859359E-2</v>
      </c>
      <c r="Y92" s="179">
        <f>W92/W$8</f>
        <v>1.3476312198890696E-2</v>
      </c>
    </row>
    <row r="93" spans="1:25" x14ac:dyDescent="0.25">
      <c r="A93" s="58"/>
      <c r="B93" s="161" t="s">
        <v>100</v>
      </c>
      <c r="C93" s="162">
        <v>2731</v>
      </c>
      <c r="D93" s="162">
        <v>0</v>
      </c>
      <c r="E93" s="162">
        <v>3679</v>
      </c>
      <c r="F93" s="162">
        <v>5156</v>
      </c>
      <c r="G93" s="162">
        <v>5742</v>
      </c>
      <c r="H93" s="162">
        <v>6217</v>
      </c>
      <c r="I93" s="163">
        <f>IFERROR(H93/G93-1,"-")</f>
        <v>8.2723789620341437E-2</v>
      </c>
      <c r="J93" s="163">
        <f t="shared" si="67"/>
        <v>8.179057823057655E-3</v>
      </c>
      <c r="K93" s="162">
        <v>4723</v>
      </c>
      <c r="L93" s="162">
        <v>0</v>
      </c>
      <c r="M93" s="162">
        <v>23427</v>
      </c>
      <c r="N93" s="162">
        <v>29194</v>
      </c>
      <c r="O93" s="162">
        <v>30079</v>
      </c>
      <c r="P93" s="162">
        <v>29348</v>
      </c>
      <c r="Q93" s="163">
        <f>IFERROR(P93/O93-1,"-")</f>
        <v>-2.4302669636623531E-2</v>
      </c>
      <c r="R93" s="163">
        <f t="shared" si="69"/>
        <v>8.5345288110140437E-3</v>
      </c>
      <c r="S93" s="162">
        <v>14777</v>
      </c>
      <c r="T93" s="162">
        <v>33809</v>
      </c>
      <c r="U93" s="162">
        <v>37722</v>
      </c>
      <c r="V93" s="162">
        <v>35821</v>
      </c>
      <c r="W93" s="162">
        <v>35565</v>
      </c>
      <c r="X93" s="163">
        <f>IFERROR(W93/V93-1,"-")</f>
        <v>-7.146645822282971E-3</v>
      </c>
      <c r="Y93" s="163">
        <f>W93/W$8</f>
        <v>8.4701783750737412E-3</v>
      </c>
    </row>
    <row r="94" spans="1:25" x14ac:dyDescent="0.25">
      <c r="A94" s="58"/>
      <c r="B94" s="165" t="s">
        <v>106</v>
      </c>
      <c r="C94" s="166">
        <v>2063</v>
      </c>
      <c r="D94" s="166">
        <v>0</v>
      </c>
      <c r="E94" s="166">
        <v>2699</v>
      </c>
      <c r="F94" s="166">
        <v>3692</v>
      </c>
      <c r="G94" s="166">
        <v>4202</v>
      </c>
      <c r="H94" s="166">
        <v>4481</v>
      </c>
      <c r="I94" s="167">
        <f>IFERROR(H94/G94-1,"-")</f>
        <v>6.6396953831508787E-2</v>
      </c>
      <c r="J94" s="167">
        <f t="shared" si="67"/>
        <v>5.8951838676405584E-3</v>
      </c>
      <c r="K94" s="166">
        <v>2176</v>
      </c>
      <c r="L94" s="166">
        <v>0</v>
      </c>
      <c r="M94" s="166">
        <v>10356</v>
      </c>
      <c r="N94" s="166">
        <v>6893</v>
      </c>
      <c r="O94" s="166">
        <v>7675</v>
      </c>
      <c r="P94" s="166">
        <v>9206</v>
      </c>
      <c r="Q94" s="167">
        <f>IFERROR(P94/O94-1,"-")</f>
        <v>0.19947882736156353</v>
      </c>
      <c r="R94" s="167">
        <f t="shared" si="69"/>
        <v>2.6771457078572742E-3</v>
      </c>
      <c r="S94" s="166">
        <v>8025</v>
      </c>
      <c r="T94" s="166">
        <v>16289</v>
      </c>
      <c r="U94" s="166">
        <v>12024</v>
      </c>
      <c r="V94" s="166">
        <v>11877</v>
      </c>
      <c r="W94" s="166">
        <v>13687</v>
      </c>
      <c r="X94" s="167">
        <f>IFERROR(W94/V94-1,"-")</f>
        <v>0.15239538604024583</v>
      </c>
      <c r="Y94" s="167">
        <f>W94/W$8</f>
        <v>3.2597028376109738E-3</v>
      </c>
    </row>
    <row r="95" spans="1:25" x14ac:dyDescent="0.25">
      <c r="A95" s="58"/>
      <c r="B95" s="165" t="s">
        <v>103</v>
      </c>
      <c r="C95" s="166">
        <v>668</v>
      </c>
      <c r="D95" s="166">
        <v>0</v>
      </c>
      <c r="E95" s="166">
        <v>980</v>
      </c>
      <c r="F95" s="166">
        <v>1464</v>
      </c>
      <c r="G95" s="166">
        <v>1540</v>
      </c>
      <c r="H95" s="166">
        <v>1736</v>
      </c>
      <c r="I95" s="167">
        <f>IFERROR(H95/G95-1,"-")</f>
        <v>0.1272727272727272</v>
      </c>
      <c r="J95" s="167">
        <f t="shared" si="67"/>
        <v>2.2838739554170966E-3</v>
      </c>
      <c r="K95" s="166">
        <v>2547</v>
      </c>
      <c r="L95" s="166">
        <v>0</v>
      </c>
      <c r="M95" s="166">
        <v>13071</v>
      </c>
      <c r="N95" s="166">
        <v>22301</v>
      </c>
      <c r="O95" s="166">
        <v>22404</v>
      </c>
      <c r="P95" s="166">
        <v>20142</v>
      </c>
      <c r="Q95" s="167">
        <f>IFERROR(P95/O95-1,"-")</f>
        <v>-0.10096411355115154</v>
      </c>
      <c r="R95" s="167">
        <f t="shared" si="69"/>
        <v>5.8573831031567694E-3</v>
      </c>
      <c r="S95" s="166">
        <v>6752</v>
      </c>
      <c r="T95" s="166">
        <v>17520</v>
      </c>
      <c r="U95" s="166">
        <v>25698</v>
      </c>
      <c r="V95" s="166">
        <v>23944</v>
      </c>
      <c r="W95" s="166">
        <v>21878</v>
      </c>
      <c r="X95" s="167">
        <f>IFERROR(W95/V95-1,"-")</f>
        <v>-8.6284664216505158E-2</v>
      </c>
      <c r="Y95" s="167">
        <f>W95/W$8</f>
        <v>5.210475537462767E-3</v>
      </c>
    </row>
    <row r="96" spans="1:25" x14ac:dyDescent="0.25">
      <c r="A96" s="58"/>
      <c r="B96" s="161" t="s">
        <v>110</v>
      </c>
      <c r="C96" s="162">
        <v>1330</v>
      </c>
      <c r="D96" s="162">
        <v>0</v>
      </c>
      <c r="E96" s="162">
        <v>1087</v>
      </c>
      <c r="F96" s="162">
        <v>2199</v>
      </c>
      <c r="G96" s="162">
        <v>2181</v>
      </c>
      <c r="H96" s="162">
        <v>2445</v>
      </c>
      <c r="I96" s="163">
        <f>IFERROR(H96/G96-1,"-")</f>
        <v>0.12104539202200826</v>
      </c>
      <c r="J96" s="163">
        <f t="shared" si="67"/>
        <v>3.2166312332919359E-3</v>
      </c>
      <c r="K96" s="162">
        <v>3970</v>
      </c>
      <c r="L96" s="162">
        <v>0</v>
      </c>
      <c r="M96" s="162">
        <v>10848</v>
      </c>
      <c r="N96" s="162">
        <v>16963</v>
      </c>
      <c r="O96" s="162">
        <v>19386</v>
      </c>
      <c r="P96" s="162">
        <v>18575</v>
      </c>
      <c r="Q96" s="163">
        <f>IFERROR(P96/O96-1,"-")</f>
        <v>-4.1834313422057123E-2</v>
      </c>
      <c r="R96" s="163">
        <f t="shared" si="69"/>
        <v>5.4016925400226885E-3</v>
      </c>
      <c r="S96" s="162">
        <v>7839</v>
      </c>
      <c r="T96" s="162">
        <v>17676</v>
      </c>
      <c r="U96" s="162">
        <v>20435</v>
      </c>
      <c r="V96" s="162">
        <v>21567</v>
      </c>
      <c r="W96" s="162">
        <v>21020</v>
      </c>
      <c r="X96" s="163">
        <f>IFERROR(W96/V96-1,"-")</f>
        <v>-2.5362822831177301E-2</v>
      </c>
      <c r="Y96" s="163">
        <f>W96/W$8</f>
        <v>5.0061338238169559E-3</v>
      </c>
    </row>
    <row r="97" spans="1:25" s="58" customFormat="1" x14ac:dyDescent="0.25">
      <c r="B97" s="165" t="s">
        <v>113</v>
      </c>
      <c r="C97" s="166">
        <v>79</v>
      </c>
      <c r="D97" s="166">
        <v>0</v>
      </c>
      <c r="E97" s="166">
        <v>41</v>
      </c>
      <c r="F97" s="166">
        <v>169</v>
      </c>
      <c r="G97" s="166">
        <v>203</v>
      </c>
      <c r="H97" s="166">
        <v>174</v>
      </c>
      <c r="I97" s="167">
        <f t="shared" ref="I97:I104" si="70">IFERROR(H97/G97-1,"-")</f>
        <v>-0.1428571428571429</v>
      </c>
      <c r="J97" s="167">
        <f t="shared" si="67"/>
        <v>2.28913633780285E-4</v>
      </c>
      <c r="K97" s="166">
        <v>915</v>
      </c>
      <c r="L97" s="166">
        <v>0</v>
      </c>
      <c r="M97" s="166">
        <v>1447</v>
      </c>
      <c r="N97" s="166">
        <v>2473</v>
      </c>
      <c r="O97" s="166">
        <v>2827</v>
      </c>
      <c r="P97" s="166">
        <v>2377</v>
      </c>
      <c r="Q97" s="167">
        <f t="shared" ref="Q97:Q104" si="71">IFERROR(P97/O97-1,"-")</f>
        <v>-0.15917934205871953</v>
      </c>
      <c r="R97" s="167">
        <f t="shared" si="69"/>
        <v>6.9124216245673926E-4</v>
      </c>
      <c r="S97" s="166">
        <v>1262</v>
      </c>
      <c r="T97" s="166">
        <v>2403</v>
      </c>
      <c r="U97" s="166">
        <v>2795</v>
      </c>
      <c r="V97" s="166">
        <v>3030</v>
      </c>
      <c r="W97" s="166">
        <v>2551</v>
      </c>
      <c r="X97" s="167">
        <f t="shared" ref="X97:X104" si="72">IFERROR(W97/V97-1,"-")</f>
        <v>-0.15808580858085808</v>
      </c>
      <c r="Y97" s="167">
        <f t="shared" ref="Y97:Y104" si="73">W97/W$8</f>
        <v>6.07547449312895E-4</v>
      </c>
    </row>
    <row r="98" spans="1:25" s="58" customFormat="1" x14ac:dyDescent="0.25">
      <c r="B98" s="165" t="s">
        <v>116</v>
      </c>
      <c r="C98" s="166">
        <v>299</v>
      </c>
      <c r="D98" s="166">
        <v>0</v>
      </c>
      <c r="E98" s="166">
        <v>152</v>
      </c>
      <c r="F98" s="166">
        <v>308</v>
      </c>
      <c r="G98" s="166">
        <v>341</v>
      </c>
      <c r="H98" s="166">
        <v>375</v>
      </c>
      <c r="I98" s="167">
        <f t="shared" si="70"/>
        <v>9.9706744868035102E-2</v>
      </c>
      <c r="J98" s="167">
        <f t="shared" si="67"/>
        <v>4.9334834866440736E-4</v>
      </c>
      <c r="K98" s="166">
        <v>772</v>
      </c>
      <c r="L98" s="166">
        <v>0</v>
      </c>
      <c r="M98" s="166">
        <v>2200</v>
      </c>
      <c r="N98" s="166">
        <v>3271</v>
      </c>
      <c r="O98" s="166">
        <v>3893</v>
      </c>
      <c r="P98" s="166">
        <v>3556</v>
      </c>
      <c r="Q98" s="167">
        <f t="shared" si="71"/>
        <v>-8.6565630619059863E-2</v>
      </c>
      <c r="R98" s="167">
        <f t="shared" si="69"/>
        <v>1.0341006014708306E-3</v>
      </c>
      <c r="S98" s="166">
        <v>1429</v>
      </c>
      <c r="T98" s="166">
        <v>3482</v>
      </c>
      <c r="U98" s="166">
        <v>3814</v>
      </c>
      <c r="V98" s="166">
        <v>4234</v>
      </c>
      <c r="W98" s="166">
        <v>3931</v>
      </c>
      <c r="X98" s="167">
        <f t="shared" si="72"/>
        <v>-7.1563533301842175E-2</v>
      </c>
      <c r="Y98" s="167">
        <f t="shared" si="73"/>
        <v>9.3620894678517847E-4</v>
      </c>
    </row>
    <row r="99" spans="1:25" x14ac:dyDescent="0.25">
      <c r="A99" s="58"/>
      <c r="B99" s="165" t="s">
        <v>119</v>
      </c>
      <c r="C99" s="166">
        <v>539</v>
      </c>
      <c r="D99" s="166">
        <v>0</v>
      </c>
      <c r="E99" s="166">
        <v>335</v>
      </c>
      <c r="F99" s="166">
        <v>747</v>
      </c>
      <c r="G99" s="166">
        <v>574</v>
      </c>
      <c r="H99" s="166">
        <v>737</v>
      </c>
      <c r="I99" s="167">
        <f t="shared" si="70"/>
        <v>0.28397212543554007</v>
      </c>
      <c r="J99" s="167">
        <f t="shared" si="67"/>
        <v>9.6959395457511528E-4</v>
      </c>
      <c r="K99" s="166">
        <v>622</v>
      </c>
      <c r="L99" s="166">
        <v>0</v>
      </c>
      <c r="M99" s="166">
        <v>1981</v>
      </c>
      <c r="N99" s="166">
        <v>2810</v>
      </c>
      <c r="O99" s="166">
        <v>3111</v>
      </c>
      <c r="P99" s="166">
        <v>2964</v>
      </c>
      <c r="Q99" s="167">
        <f t="shared" si="71"/>
        <v>-4.7251687560269984E-2</v>
      </c>
      <c r="R99" s="167">
        <f t="shared" si="69"/>
        <v>8.6194437085476445E-4</v>
      </c>
      <c r="S99" s="166">
        <v>1899</v>
      </c>
      <c r="T99" s="166">
        <v>3412</v>
      </c>
      <c r="U99" s="166">
        <v>3885</v>
      </c>
      <c r="V99" s="166">
        <v>3685</v>
      </c>
      <c r="W99" s="166">
        <v>3701</v>
      </c>
      <c r="X99" s="167">
        <f t="shared" si="72"/>
        <v>4.3419267299864561E-3</v>
      </c>
      <c r="Y99" s="167">
        <f t="shared" si="73"/>
        <v>8.8143203053979793E-4</v>
      </c>
    </row>
    <row r="100" spans="1:25" x14ac:dyDescent="0.25">
      <c r="A100" s="58"/>
      <c r="B100" s="165" t="s">
        <v>126</v>
      </c>
      <c r="C100" s="166">
        <v>55</v>
      </c>
      <c r="D100" s="166">
        <v>0</v>
      </c>
      <c r="E100" s="166">
        <v>32</v>
      </c>
      <c r="F100" s="166">
        <v>58</v>
      </c>
      <c r="G100" s="166">
        <v>90</v>
      </c>
      <c r="H100" s="166">
        <v>62</v>
      </c>
      <c r="I100" s="167">
        <f t="shared" si="70"/>
        <v>-0.31111111111111112</v>
      </c>
      <c r="J100" s="167">
        <f t="shared" si="67"/>
        <v>8.1566926979182011E-5</v>
      </c>
      <c r="K100" s="166">
        <v>210</v>
      </c>
      <c r="L100" s="166">
        <v>0</v>
      </c>
      <c r="M100" s="166">
        <v>738</v>
      </c>
      <c r="N100" s="166">
        <v>834</v>
      </c>
      <c r="O100" s="166">
        <v>843</v>
      </c>
      <c r="P100" s="166">
        <v>838</v>
      </c>
      <c r="Q100" s="167">
        <f t="shared" si="71"/>
        <v>-5.9311981020165883E-3</v>
      </c>
      <c r="R100" s="167">
        <f t="shared" si="69"/>
        <v>2.4369412374368845E-4</v>
      </c>
      <c r="S100" s="166">
        <v>316</v>
      </c>
      <c r="T100" s="166">
        <v>1172</v>
      </c>
      <c r="U100" s="166">
        <v>938</v>
      </c>
      <c r="V100" s="166">
        <v>933</v>
      </c>
      <c r="W100" s="166">
        <v>900</v>
      </c>
      <c r="X100" s="167">
        <f t="shared" si="72"/>
        <v>-3.5369774919614128E-2</v>
      </c>
      <c r="Y100" s="167">
        <f t="shared" si="73"/>
        <v>2.1434445487322835E-4</v>
      </c>
    </row>
    <row r="101" spans="1:25" x14ac:dyDescent="0.25">
      <c r="A101" s="58"/>
      <c r="B101" s="165" t="s">
        <v>122</v>
      </c>
      <c r="C101" s="166">
        <v>30</v>
      </c>
      <c r="D101" s="166">
        <v>0</v>
      </c>
      <c r="E101" s="166">
        <v>15</v>
      </c>
      <c r="F101" s="166">
        <v>84</v>
      </c>
      <c r="G101" s="166">
        <v>64</v>
      </c>
      <c r="H101" s="166">
        <v>78</v>
      </c>
      <c r="I101" s="167">
        <f t="shared" si="70"/>
        <v>0.21875</v>
      </c>
      <c r="J101" s="167">
        <f t="shared" si="67"/>
        <v>1.0261645652219672E-4</v>
      </c>
      <c r="K101" s="166">
        <v>102</v>
      </c>
      <c r="L101" s="166">
        <v>0</v>
      </c>
      <c r="M101" s="166">
        <v>417</v>
      </c>
      <c r="N101" s="166">
        <v>517</v>
      </c>
      <c r="O101" s="166">
        <v>839</v>
      </c>
      <c r="P101" s="166">
        <v>761</v>
      </c>
      <c r="Q101" s="167">
        <f t="shared" si="71"/>
        <v>-9.2967818831942828E-2</v>
      </c>
      <c r="R101" s="167">
        <f t="shared" si="69"/>
        <v>2.213021815858555E-4</v>
      </c>
      <c r="S101" s="166">
        <v>327</v>
      </c>
      <c r="T101" s="166">
        <v>682</v>
      </c>
      <c r="U101" s="166">
        <v>650</v>
      </c>
      <c r="V101" s="166">
        <v>903</v>
      </c>
      <c r="W101" s="166">
        <v>839</v>
      </c>
      <c r="X101" s="167">
        <f t="shared" si="72"/>
        <v>-7.0874861572535974E-2</v>
      </c>
      <c r="Y101" s="167">
        <f t="shared" si="73"/>
        <v>1.9981666404293177E-4</v>
      </c>
    </row>
    <row r="102" spans="1:25" x14ac:dyDescent="0.25">
      <c r="A102" s="58"/>
      <c r="B102" s="165" t="s">
        <v>131</v>
      </c>
      <c r="C102" s="166">
        <v>22</v>
      </c>
      <c r="D102" s="166">
        <v>0</v>
      </c>
      <c r="E102" s="166">
        <v>3</v>
      </c>
      <c r="F102" s="166">
        <v>22</v>
      </c>
      <c r="G102" s="166">
        <v>28</v>
      </c>
      <c r="H102" s="166">
        <v>12</v>
      </c>
      <c r="I102" s="167">
        <f t="shared" si="70"/>
        <v>-0.5714285714285714</v>
      </c>
      <c r="J102" s="167">
        <f t="shared" si="67"/>
        <v>1.5787147157261037E-5</v>
      </c>
      <c r="K102" s="166">
        <v>90</v>
      </c>
      <c r="L102" s="166">
        <v>0</v>
      </c>
      <c r="M102" s="166">
        <v>108</v>
      </c>
      <c r="N102" s="166">
        <v>125</v>
      </c>
      <c r="O102" s="166">
        <v>202</v>
      </c>
      <c r="P102" s="166">
        <v>173</v>
      </c>
      <c r="Q102" s="167">
        <f t="shared" si="71"/>
        <v>-0.14356435643564358</v>
      </c>
      <c r="R102" s="167">
        <f t="shared" si="69"/>
        <v>5.0309168744222082E-5</v>
      </c>
      <c r="S102" s="166">
        <v>120</v>
      </c>
      <c r="T102" s="166">
        <v>270</v>
      </c>
      <c r="U102" s="166">
        <v>153</v>
      </c>
      <c r="V102" s="166">
        <v>230</v>
      </c>
      <c r="W102" s="166">
        <v>185</v>
      </c>
      <c r="X102" s="167">
        <f t="shared" si="72"/>
        <v>-0.19565217391304346</v>
      </c>
      <c r="Y102" s="167">
        <f t="shared" si="73"/>
        <v>4.4059693501719158E-5</v>
      </c>
    </row>
    <row r="103" spans="1:25" x14ac:dyDescent="0.25">
      <c r="A103" s="58"/>
      <c r="B103" s="165" t="s">
        <v>134</v>
      </c>
      <c r="C103" s="166">
        <v>0</v>
      </c>
      <c r="D103" s="166">
        <v>0</v>
      </c>
      <c r="E103" s="166">
        <v>0</v>
      </c>
      <c r="F103" s="166">
        <v>10</v>
      </c>
      <c r="G103" s="166">
        <v>25</v>
      </c>
      <c r="H103" s="166">
        <v>8</v>
      </c>
      <c r="I103" s="167">
        <f t="shared" si="70"/>
        <v>-0.67999999999999994</v>
      </c>
      <c r="J103" s="167">
        <f t="shared" si="67"/>
        <v>1.0524764771507357E-5</v>
      </c>
      <c r="K103" s="166">
        <v>61</v>
      </c>
      <c r="L103" s="166">
        <v>0</v>
      </c>
      <c r="M103" s="166">
        <v>99</v>
      </c>
      <c r="N103" s="166">
        <v>246</v>
      </c>
      <c r="O103" s="166">
        <v>359</v>
      </c>
      <c r="P103" s="166">
        <v>231</v>
      </c>
      <c r="Q103" s="167">
        <f t="shared" si="71"/>
        <v>-0.35654596100278546</v>
      </c>
      <c r="R103" s="167">
        <f t="shared" si="69"/>
        <v>6.7175826473498844E-5</v>
      </c>
      <c r="S103" s="166">
        <v>87</v>
      </c>
      <c r="T103" s="166">
        <v>168</v>
      </c>
      <c r="U103" s="166">
        <v>270</v>
      </c>
      <c r="V103" s="166">
        <v>384</v>
      </c>
      <c r="W103" s="166">
        <v>239</v>
      </c>
      <c r="X103" s="167">
        <f t="shared" si="72"/>
        <v>-0.37760416666666663</v>
      </c>
      <c r="Y103" s="167">
        <f t="shared" si="73"/>
        <v>5.6920360794112865E-5</v>
      </c>
    </row>
    <row r="104" spans="1:25" x14ac:dyDescent="0.25">
      <c r="A104" s="58"/>
      <c r="B104" s="170" t="s">
        <v>148</v>
      </c>
      <c r="C104" s="171">
        <f t="shared" ref="C104" si="74">C96-SUM(C97:C103)</f>
        <v>306</v>
      </c>
      <c r="D104" s="171">
        <f t="shared" ref="D104:H104" si="75">D96-SUM(D97:D103)</f>
        <v>0</v>
      </c>
      <c r="E104" s="171">
        <f t="shared" si="75"/>
        <v>509</v>
      </c>
      <c r="F104" s="171">
        <f t="shared" si="75"/>
        <v>801</v>
      </c>
      <c r="G104" s="171">
        <f t="shared" si="75"/>
        <v>856</v>
      </c>
      <c r="H104" s="171">
        <f t="shared" si="75"/>
        <v>999</v>
      </c>
      <c r="I104" s="172">
        <f t="shared" si="70"/>
        <v>0.1670560747663552</v>
      </c>
      <c r="J104" s="172">
        <f t="shared" si="67"/>
        <v>1.3142800008419811E-3</v>
      </c>
      <c r="K104" s="171">
        <f t="shared" ref="K104:P104" si="76">K96-SUM(K97:K103)</f>
        <v>1198</v>
      </c>
      <c r="L104" s="171">
        <f t="shared" si="76"/>
        <v>0</v>
      </c>
      <c r="M104" s="171">
        <f t="shared" si="76"/>
        <v>3858</v>
      </c>
      <c r="N104" s="171">
        <f t="shared" si="76"/>
        <v>6687</v>
      </c>
      <c r="O104" s="171">
        <f t="shared" si="76"/>
        <v>7312</v>
      </c>
      <c r="P104" s="171">
        <f t="shared" si="76"/>
        <v>7675</v>
      </c>
      <c r="Q104" s="172">
        <f t="shared" si="71"/>
        <v>4.9644420131291112E-2</v>
      </c>
      <c r="R104" s="172">
        <f t="shared" si="69"/>
        <v>2.2319241046930894E-3</v>
      </c>
      <c r="S104" s="171">
        <f>S96-SUM(S97:S103)</f>
        <v>2399</v>
      </c>
      <c r="T104" s="171">
        <f>T96-SUM(T97:T103)</f>
        <v>6087</v>
      </c>
      <c r="U104" s="171">
        <f>U96-SUM(U97:U103)</f>
        <v>7930</v>
      </c>
      <c r="V104" s="171">
        <f>V96-SUM(V97:V103)</f>
        <v>8168</v>
      </c>
      <c r="W104" s="171">
        <f>W96-SUM(W97:W103)</f>
        <v>8674</v>
      </c>
      <c r="X104" s="172">
        <f t="shared" si="72"/>
        <v>6.1949069539666946E-2</v>
      </c>
      <c r="Y104" s="172">
        <f t="shared" si="73"/>
        <v>2.0658042239670919E-3</v>
      </c>
    </row>
    <row r="105" spans="1:25" x14ac:dyDescent="0.25">
      <c r="A105" s="58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</row>
    <row r="106" spans="1:25" x14ac:dyDescent="0.25">
      <c r="A106" s="58"/>
      <c r="B106" s="158" t="s">
        <v>71</v>
      </c>
      <c r="C106" s="178">
        <f t="shared" ref="C106:H106" si="77">C107+C110</f>
        <v>0</v>
      </c>
      <c r="D106" s="178">
        <f t="shared" si="77"/>
        <v>0</v>
      </c>
      <c r="E106" s="178">
        <f t="shared" si="77"/>
        <v>0</v>
      </c>
      <c r="F106" s="178">
        <f t="shared" si="77"/>
        <v>0</v>
      </c>
      <c r="G106" s="178">
        <f t="shared" si="77"/>
        <v>0</v>
      </c>
      <c r="H106" s="178">
        <f t="shared" si="77"/>
        <v>0</v>
      </c>
      <c r="I106" s="179" t="str">
        <f>IFERROR(H106/G106-1,"-")</f>
        <v>-</v>
      </c>
      <c r="J106" s="179">
        <f t="shared" ref="J106:J118" si="78">H106/H$8</f>
        <v>0</v>
      </c>
      <c r="K106" s="178">
        <f t="shared" ref="K106:P106" si="79">K107+K110</f>
        <v>22627</v>
      </c>
      <c r="L106" s="178">
        <f t="shared" si="79"/>
        <v>0</v>
      </c>
      <c r="M106" s="178">
        <f t="shared" si="79"/>
        <v>0</v>
      </c>
      <c r="N106" s="178">
        <f t="shared" si="79"/>
        <v>0</v>
      </c>
      <c r="O106" s="178">
        <f t="shared" si="79"/>
        <v>0</v>
      </c>
      <c r="P106" s="178">
        <f t="shared" si="79"/>
        <v>0</v>
      </c>
      <c r="Q106" s="179" t="str">
        <f>IFERROR(P106/O106-1,"-")</f>
        <v>-</v>
      </c>
      <c r="R106" s="179">
        <f t="shared" ref="R106:R118" si="80">P106/P$8</f>
        <v>0</v>
      </c>
      <c r="S106" s="178">
        <f>S107+S110</f>
        <v>62298</v>
      </c>
      <c r="T106" s="178">
        <f>T107+T110</f>
        <v>169794</v>
      </c>
      <c r="U106" s="178">
        <f>U107+U110</f>
        <v>220761</v>
      </c>
      <c r="V106" s="178">
        <f>V107+V110</f>
        <v>207278</v>
      </c>
      <c r="W106" s="178">
        <f>W107+W110</f>
        <v>217984</v>
      </c>
      <c r="X106" s="179">
        <f>IFERROR(W106/V106-1,"-")</f>
        <v>5.1650440471251224E-2</v>
      </c>
      <c r="Y106" s="179">
        <f>W106/W$8</f>
        <v>5.1915179612317564E-2</v>
      </c>
    </row>
    <row r="107" spans="1:25" x14ac:dyDescent="0.25">
      <c r="A107" s="58"/>
      <c r="B107" s="161" t="s">
        <v>100</v>
      </c>
      <c r="C107" s="162">
        <v>0</v>
      </c>
      <c r="D107" s="162">
        <v>0</v>
      </c>
      <c r="E107" s="162">
        <v>0</v>
      </c>
      <c r="F107" s="162">
        <v>0</v>
      </c>
      <c r="G107" s="162">
        <v>0</v>
      </c>
      <c r="H107" s="162">
        <v>0</v>
      </c>
      <c r="I107" s="163" t="str">
        <f>IFERROR(H107/G107-1,"-")</f>
        <v>-</v>
      </c>
      <c r="J107" s="163">
        <f t="shared" si="78"/>
        <v>0</v>
      </c>
      <c r="K107" s="162">
        <v>5441</v>
      </c>
      <c r="L107" s="162">
        <v>0</v>
      </c>
      <c r="M107" s="162">
        <v>0</v>
      </c>
      <c r="N107" s="162">
        <v>0</v>
      </c>
      <c r="O107" s="162">
        <v>0</v>
      </c>
      <c r="P107" s="162">
        <v>0</v>
      </c>
      <c r="Q107" s="163" t="str">
        <f>IFERROR(P107/O107-1,"-")</f>
        <v>-</v>
      </c>
      <c r="R107" s="163">
        <f t="shared" si="80"/>
        <v>0</v>
      </c>
      <c r="S107" s="162">
        <v>28280</v>
      </c>
      <c r="T107" s="162">
        <v>41132</v>
      </c>
      <c r="U107" s="162">
        <v>48543</v>
      </c>
      <c r="V107" s="162">
        <v>43479</v>
      </c>
      <c r="W107" s="162">
        <v>46333</v>
      </c>
      <c r="X107" s="163">
        <f>IFERROR(W107/V107-1,"-")</f>
        <v>6.5640884104970265E-2</v>
      </c>
      <c r="Y107" s="163">
        <f>W107/W$8</f>
        <v>1.103469069737921E-2</v>
      </c>
    </row>
    <row r="108" spans="1:25" x14ac:dyDescent="0.25">
      <c r="A108" s="58"/>
      <c r="B108" s="165" t="s">
        <v>106</v>
      </c>
      <c r="C108" s="166">
        <v>0</v>
      </c>
      <c r="D108" s="166">
        <v>0</v>
      </c>
      <c r="E108" s="166">
        <v>0</v>
      </c>
      <c r="F108" s="166">
        <v>0</v>
      </c>
      <c r="G108" s="166">
        <v>0</v>
      </c>
      <c r="H108" s="166">
        <v>0</v>
      </c>
      <c r="I108" s="167" t="str">
        <f>IFERROR(H108/G108-1,"-")</f>
        <v>-</v>
      </c>
      <c r="J108" s="167">
        <f t="shared" si="78"/>
        <v>0</v>
      </c>
      <c r="K108" s="166">
        <v>273</v>
      </c>
      <c r="L108" s="166">
        <v>0</v>
      </c>
      <c r="M108" s="166">
        <v>0</v>
      </c>
      <c r="N108" s="166">
        <v>0</v>
      </c>
      <c r="O108" s="166">
        <v>0</v>
      </c>
      <c r="P108" s="166">
        <v>0</v>
      </c>
      <c r="Q108" s="167" t="str">
        <f>IFERROR(P108/O108-1,"-")</f>
        <v>-</v>
      </c>
      <c r="R108" s="167">
        <f t="shared" si="80"/>
        <v>0</v>
      </c>
      <c r="S108" s="166">
        <v>3378</v>
      </c>
      <c r="T108" s="166">
        <v>11031</v>
      </c>
      <c r="U108" s="166">
        <v>14560</v>
      </c>
      <c r="V108" s="166">
        <v>12208</v>
      </c>
      <c r="W108" s="166">
        <v>17174</v>
      </c>
      <c r="X108" s="167">
        <f>IFERROR(W108/V108-1,"-")</f>
        <v>0.40678243774574052</v>
      </c>
      <c r="Y108" s="167">
        <f>W108/W$8</f>
        <v>4.0901685199920268E-3</v>
      </c>
    </row>
    <row r="109" spans="1:25" x14ac:dyDescent="0.25">
      <c r="A109" s="58"/>
      <c r="B109" s="165" t="s">
        <v>103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6">
        <v>0</v>
      </c>
      <c r="I109" s="167" t="str">
        <f>IFERROR(H109/G109-1,"-")</f>
        <v>-</v>
      </c>
      <c r="J109" s="167">
        <f t="shared" si="78"/>
        <v>0</v>
      </c>
      <c r="K109" s="166">
        <v>5168</v>
      </c>
      <c r="L109" s="166">
        <v>0</v>
      </c>
      <c r="M109" s="166">
        <v>0</v>
      </c>
      <c r="N109" s="166">
        <v>0</v>
      </c>
      <c r="O109" s="166">
        <v>0</v>
      </c>
      <c r="P109" s="166">
        <v>0</v>
      </c>
      <c r="Q109" s="167" t="str">
        <f>IFERROR(P109/O109-1,"-")</f>
        <v>-</v>
      </c>
      <c r="R109" s="167">
        <f t="shared" si="80"/>
        <v>0</v>
      </c>
      <c r="S109" s="166">
        <v>24902</v>
      </c>
      <c r="T109" s="166">
        <v>30101</v>
      </c>
      <c r="U109" s="166">
        <v>33983</v>
      </c>
      <c r="V109" s="166">
        <v>31271</v>
      </c>
      <c r="W109" s="166">
        <v>29159</v>
      </c>
      <c r="X109" s="167">
        <f>IFERROR(W109/V109-1,"-")</f>
        <v>-6.7538614051357526E-2</v>
      </c>
      <c r="Y109" s="167">
        <f>W109/W$8</f>
        <v>6.9445221773871838E-3</v>
      </c>
    </row>
    <row r="110" spans="1:25" x14ac:dyDescent="0.25">
      <c r="A110" s="58"/>
      <c r="B110" s="161" t="s">
        <v>110</v>
      </c>
      <c r="C110" s="162">
        <v>0</v>
      </c>
      <c r="D110" s="162">
        <v>0</v>
      </c>
      <c r="E110" s="162">
        <v>0</v>
      </c>
      <c r="F110" s="162">
        <v>0</v>
      </c>
      <c r="G110" s="162">
        <v>0</v>
      </c>
      <c r="H110" s="162">
        <v>0</v>
      </c>
      <c r="I110" s="163" t="str">
        <f>IFERROR(H110/G110-1,"-")</f>
        <v>-</v>
      </c>
      <c r="J110" s="163">
        <f t="shared" si="78"/>
        <v>0</v>
      </c>
      <c r="K110" s="162">
        <v>17186</v>
      </c>
      <c r="L110" s="162">
        <v>0</v>
      </c>
      <c r="M110" s="162">
        <v>0</v>
      </c>
      <c r="N110" s="162">
        <v>0</v>
      </c>
      <c r="O110" s="162">
        <v>0</v>
      </c>
      <c r="P110" s="162">
        <v>0</v>
      </c>
      <c r="Q110" s="163" t="str">
        <f>IFERROR(P110/O110-1,"-")</f>
        <v>-</v>
      </c>
      <c r="R110" s="163">
        <f t="shared" si="80"/>
        <v>0</v>
      </c>
      <c r="S110" s="162">
        <v>34018</v>
      </c>
      <c r="T110" s="162">
        <v>128662</v>
      </c>
      <c r="U110" s="162">
        <v>172218</v>
      </c>
      <c r="V110" s="162">
        <v>163799</v>
      </c>
      <c r="W110" s="162">
        <v>171651</v>
      </c>
      <c r="X110" s="163">
        <f>IFERROR(W110/V110-1,"-")</f>
        <v>4.7936800590968165E-2</v>
      </c>
      <c r="Y110" s="163">
        <f>W110/W$8</f>
        <v>4.0880488914938354E-2</v>
      </c>
    </row>
    <row r="111" spans="1:25" s="58" customFormat="1" x14ac:dyDescent="0.25">
      <c r="B111" s="165" t="s">
        <v>113</v>
      </c>
      <c r="C111" s="166">
        <v>0</v>
      </c>
      <c r="D111" s="166">
        <v>0</v>
      </c>
      <c r="E111" s="166">
        <v>0</v>
      </c>
      <c r="F111" s="166">
        <v>0</v>
      </c>
      <c r="G111" s="166">
        <v>0</v>
      </c>
      <c r="H111" s="166">
        <v>0</v>
      </c>
      <c r="I111" s="167" t="str">
        <f t="shared" ref="I111:I118" si="81">IFERROR(H111/G111-1,"-")</f>
        <v>-</v>
      </c>
      <c r="J111" s="167">
        <f t="shared" si="78"/>
        <v>0</v>
      </c>
      <c r="K111" s="166">
        <v>9701</v>
      </c>
      <c r="L111" s="166">
        <v>0</v>
      </c>
      <c r="M111" s="166">
        <v>0</v>
      </c>
      <c r="N111" s="166">
        <v>0</v>
      </c>
      <c r="O111" s="166">
        <v>0</v>
      </c>
      <c r="P111" s="166">
        <v>0</v>
      </c>
      <c r="Q111" s="167" t="str">
        <f t="shared" ref="Q111:Q118" si="82">IFERROR(P111/O111-1,"-")</f>
        <v>-</v>
      </c>
      <c r="R111" s="167">
        <f t="shared" si="80"/>
        <v>0</v>
      </c>
      <c r="S111" s="166">
        <v>19439</v>
      </c>
      <c r="T111" s="166">
        <v>77726</v>
      </c>
      <c r="U111" s="166">
        <v>113230</v>
      </c>
      <c r="V111" s="166">
        <v>102157</v>
      </c>
      <c r="W111" s="166">
        <v>102824</v>
      </c>
      <c r="X111" s="167">
        <f t="shared" ref="X111:X118" si="83">IFERROR(W111/V111-1,"-")</f>
        <v>6.5291658917157047E-3</v>
      </c>
      <c r="Y111" s="167">
        <f t="shared" ref="Y111:Y118" si="84">W111/W$8</f>
        <v>2.4488615808760925E-2</v>
      </c>
    </row>
    <row r="112" spans="1:25" s="58" customFormat="1" x14ac:dyDescent="0.25">
      <c r="B112" s="165" t="s">
        <v>116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6">
        <v>0</v>
      </c>
      <c r="I112" s="167" t="str">
        <f t="shared" si="81"/>
        <v>-</v>
      </c>
      <c r="J112" s="167">
        <f t="shared" si="78"/>
        <v>0</v>
      </c>
      <c r="K112" s="166">
        <v>1353</v>
      </c>
      <c r="L112" s="166">
        <v>0</v>
      </c>
      <c r="M112" s="166">
        <v>0</v>
      </c>
      <c r="N112" s="166">
        <v>0</v>
      </c>
      <c r="O112" s="166">
        <v>0</v>
      </c>
      <c r="P112" s="166">
        <v>0</v>
      </c>
      <c r="Q112" s="167" t="str">
        <f t="shared" si="82"/>
        <v>-</v>
      </c>
      <c r="R112" s="167">
        <f t="shared" si="80"/>
        <v>0</v>
      </c>
      <c r="S112" s="166">
        <v>2695</v>
      </c>
      <c r="T112" s="166">
        <v>5917</v>
      </c>
      <c r="U112" s="166">
        <v>7594</v>
      </c>
      <c r="V112" s="166">
        <v>7215</v>
      </c>
      <c r="W112" s="166">
        <v>8179</v>
      </c>
      <c r="X112" s="167">
        <f t="shared" si="83"/>
        <v>0.13361053361053354</v>
      </c>
      <c r="Y112" s="167">
        <f t="shared" si="84"/>
        <v>1.9479147737868163E-3</v>
      </c>
    </row>
    <row r="113" spans="1:25" x14ac:dyDescent="0.25">
      <c r="A113" s="58"/>
      <c r="B113" s="165" t="s">
        <v>119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6">
        <v>0</v>
      </c>
      <c r="I113" s="167" t="str">
        <f t="shared" si="81"/>
        <v>-</v>
      </c>
      <c r="J113" s="167">
        <f t="shared" si="78"/>
        <v>0</v>
      </c>
      <c r="K113" s="166">
        <v>895</v>
      </c>
      <c r="L113" s="166">
        <v>0</v>
      </c>
      <c r="M113" s="166">
        <v>0</v>
      </c>
      <c r="N113" s="166">
        <v>0</v>
      </c>
      <c r="O113" s="166">
        <v>0</v>
      </c>
      <c r="P113" s="166">
        <v>0</v>
      </c>
      <c r="Q113" s="167" t="str">
        <f t="shared" si="82"/>
        <v>-</v>
      </c>
      <c r="R113" s="167">
        <f t="shared" si="80"/>
        <v>0</v>
      </c>
      <c r="S113" s="166">
        <v>1859</v>
      </c>
      <c r="T113" s="166">
        <v>8638</v>
      </c>
      <c r="U113" s="166">
        <v>12056</v>
      </c>
      <c r="V113" s="166">
        <v>12800</v>
      </c>
      <c r="W113" s="166">
        <v>14175</v>
      </c>
      <c r="X113" s="167">
        <f t="shared" si="83"/>
        <v>0.107421875</v>
      </c>
      <c r="Y113" s="167">
        <f t="shared" si="84"/>
        <v>3.3759251642533467E-3</v>
      </c>
    </row>
    <row r="114" spans="1:25" x14ac:dyDescent="0.25">
      <c r="A114" s="58"/>
      <c r="B114" s="165" t="s">
        <v>126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6">
        <v>0</v>
      </c>
      <c r="I114" s="167" t="str">
        <f t="shared" si="81"/>
        <v>-</v>
      </c>
      <c r="J114" s="167">
        <f t="shared" si="78"/>
        <v>0</v>
      </c>
      <c r="K114" s="166">
        <v>429</v>
      </c>
      <c r="L114" s="166">
        <v>0</v>
      </c>
      <c r="M114" s="166">
        <v>0</v>
      </c>
      <c r="N114" s="166">
        <v>0</v>
      </c>
      <c r="O114" s="166">
        <v>0</v>
      </c>
      <c r="P114" s="166">
        <v>0</v>
      </c>
      <c r="Q114" s="167" t="str">
        <f t="shared" si="82"/>
        <v>-</v>
      </c>
      <c r="R114" s="167">
        <f t="shared" si="80"/>
        <v>0</v>
      </c>
      <c r="S114" s="166">
        <v>1095</v>
      </c>
      <c r="T114" s="166">
        <v>5894</v>
      </c>
      <c r="U114" s="166">
        <v>6032</v>
      </c>
      <c r="V114" s="166">
        <v>5918</v>
      </c>
      <c r="W114" s="166">
        <v>5786</v>
      </c>
      <c r="X114" s="167">
        <f t="shared" si="83"/>
        <v>-2.2304832713754608E-2</v>
      </c>
      <c r="Y114" s="167">
        <f t="shared" si="84"/>
        <v>1.3779966843294436E-3</v>
      </c>
    </row>
    <row r="115" spans="1:25" x14ac:dyDescent="0.25">
      <c r="A115" s="58"/>
      <c r="B115" s="165" t="s">
        <v>122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6">
        <v>0</v>
      </c>
      <c r="I115" s="167" t="str">
        <f t="shared" si="81"/>
        <v>-</v>
      </c>
      <c r="J115" s="167">
        <f t="shared" si="78"/>
        <v>0</v>
      </c>
      <c r="K115" s="166">
        <v>623</v>
      </c>
      <c r="L115" s="166">
        <v>0</v>
      </c>
      <c r="M115" s="166">
        <v>0</v>
      </c>
      <c r="N115" s="166">
        <v>0</v>
      </c>
      <c r="O115" s="166">
        <v>0</v>
      </c>
      <c r="P115" s="166">
        <v>0</v>
      </c>
      <c r="Q115" s="167" t="str">
        <f t="shared" si="82"/>
        <v>-</v>
      </c>
      <c r="R115" s="167">
        <f t="shared" si="80"/>
        <v>0</v>
      </c>
      <c r="S115" s="166">
        <v>2545</v>
      </c>
      <c r="T115" s="166">
        <v>4317</v>
      </c>
      <c r="U115" s="166">
        <v>4916</v>
      </c>
      <c r="V115" s="166">
        <v>4686</v>
      </c>
      <c r="W115" s="166">
        <v>4352</v>
      </c>
      <c r="X115" s="167">
        <f t="shared" si="83"/>
        <v>-7.1276141698676909E-2</v>
      </c>
      <c r="Y115" s="167">
        <f t="shared" si="84"/>
        <v>1.0364745195647665E-3</v>
      </c>
    </row>
    <row r="116" spans="1:25" x14ac:dyDescent="0.25">
      <c r="A116" s="58"/>
      <c r="B116" s="165" t="s">
        <v>131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6">
        <v>0</v>
      </c>
      <c r="I116" s="167" t="str">
        <f t="shared" si="81"/>
        <v>-</v>
      </c>
      <c r="J116" s="167">
        <f t="shared" si="78"/>
        <v>0</v>
      </c>
      <c r="K116" s="166">
        <v>206</v>
      </c>
      <c r="L116" s="166">
        <v>0</v>
      </c>
      <c r="M116" s="166">
        <v>0</v>
      </c>
      <c r="N116" s="166">
        <v>0</v>
      </c>
      <c r="O116" s="166">
        <v>0</v>
      </c>
      <c r="P116" s="166">
        <v>0</v>
      </c>
      <c r="Q116" s="167" t="str">
        <f t="shared" si="82"/>
        <v>-</v>
      </c>
      <c r="R116" s="167">
        <f t="shared" si="80"/>
        <v>0</v>
      </c>
      <c r="S116" s="166">
        <v>226</v>
      </c>
      <c r="T116" s="166">
        <v>1123</v>
      </c>
      <c r="U116" s="166">
        <v>1300</v>
      </c>
      <c r="V116" s="166">
        <v>1069</v>
      </c>
      <c r="W116" s="166">
        <v>1258</v>
      </c>
      <c r="X116" s="167">
        <f t="shared" si="83"/>
        <v>0.17680074836295612</v>
      </c>
      <c r="Y116" s="167">
        <f t="shared" si="84"/>
        <v>2.9960591581169031E-4</v>
      </c>
    </row>
    <row r="117" spans="1:25" x14ac:dyDescent="0.25">
      <c r="A117" s="58"/>
      <c r="B117" s="165" t="s">
        <v>134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6">
        <v>0</v>
      </c>
      <c r="I117" s="167" t="str">
        <f t="shared" si="81"/>
        <v>-</v>
      </c>
      <c r="J117" s="167">
        <f t="shared" si="78"/>
        <v>0</v>
      </c>
      <c r="K117" s="166">
        <v>526</v>
      </c>
      <c r="L117" s="166">
        <v>0</v>
      </c>
      <c r="M117" s="166">
        <v>0</v>
      </c>
      <c r="N117" s="166">
        <v>0</v>
      </c>
      <c r="O117" s="166">
        <v>0</v>
      </c>
      <c r="P117" s="166">
        <v>0</v>
      </c>
      <c r="Q117" s="167" t="str">
        <f t="shared" si="82"/>
        <v>-</v>
      </c>
      <c r="R117" s="167">
        <f t="shared" si="80"/>
        <v>0</v>
      </c>
      <c r="S117" s="166">
        <v>549</v>
      </c>
      <c r="T117" s="166">
        <v>840</v>
      </c>
      <c r="U117" s="166">
        <v>770</v>
      </c>
      <c r="V117" s="166">
        <v>1368</v>
      </c>
      <c r="W117" s="166">
        <v>921</v>
      </c>
      <c r="X117" s="167">
        <f t="shared" si="83"/>
        <v>-0.32675438596491224</v>
      </c>
      <c r="Y117" s="167">
        <f t="shared" si="84"/>
        <v>2.1934582548693702E-4</v>
      </c>
    </row>
    <row r="118" spans="1:25" x14ac:dyDescent="0.25">
      <c r="A118" s="58"/>
      <c r="B118" s="170" t="s">
        <v>148</v>
      </c>
      <c r="C118" s="171">
        <f t="shared" ref="C118" si="85">C110-SUM(C111:C117)</f>
        <v>0</v>
      </c>
      <c r="D118" s="171">
        <f t="shared" ref="D118:H118" si="86">D110-SUM(D111:D117)</f>
        <v>0</v>
      </c>
      <c r="E118" s="171">
        <f t="shared" si="86"/>
        <v>0</v>
      </c>
      <c r="F118" s="171">
        <f t="shared" si="86"/>
        <v>0</v>
      </c>
      <c r="G118" s="171">
        <f t="shared" si="86"/>
        <v>0</v>
      </c>
      <c r="H118" s="171">
        <f t="shared" si="86"/>
        <v>0</v>
      </c>
      <c r="I118" s="172" t="str">
        <f t="shared" si="81"/>
        <v>-</v>
      </c>
      <c r="J118" s="172">
        <f t="shared" si="78"/>
        <v>0</v>
      </c>
      <c r="K118" s="171">
        <f t="shared" ref="K118:P118" si="87">K110-SUM(K111:K117)</f>
        <v>3453</v>
      </c>
      <c r="L118" s="171">
        <f t="shared" si="87"/>
        <v>0</v>
      </c>
      <c r="M118" s="171">
        <f t="shared" si="87"/>
        <v>0</v>
      </c>
      <c r="N118" s="171">
        <f t="shared" si="87"/>
        <v>0</v>
      </c>
      <c r="O118" s="171">
        <f t="shared" si="87"/>
        <v>0</v>
      </c>
      <c r="P118" s="171">
        <f t="shared" si="87"/>
        <v>0</v>
      </c>
      <c r="Q118" s="172" t="str">
        <f t="shared" si="82"/>
        <v>-</v>
      </c>
      <c r="R118" s="172">
        <f t="shared" si="80"/>
        <v>0</v>
      </c>
      <c r="S118" s="171">
        <f>S110-SUM(S111:S117)</f>
        <v>5610</v>
      </c>
      <c r="T118" s="171">
        <f>T110-SUM(T111:T117)</f>
        <v>24207</v>
      </c>
      <c r="U118" s="171">
        <f>U110-SUM(U111:U117)</f>
        <v>26320</v>
      </c>
      <c r="V118" s="171">
        <f>V110-SUM(V111:V117)</f>
        <v>28586</v>
      </c>
      <c r="W118" s="171">
        <f>W110-SUM(W111:W117)</f>
        <v>34156</v>
      </c>
      <c r="X118" s="172">
        <f t="shared" si="83"/>
        <v>0.19485062618064797</v>
      </c>
      <c r="Y118" s="172">
        <f t="shared" si="84"/>
        <v>8.1346102229444307E-3</v>
      </c>
    </row>
    <row r="119" spans="1:25" x14ac:dyDescent="0.25">
      <c r="A119" s="58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</row>
    <row r="120" spans="1:25" x14ac:dyDescent="0.25">
      <c r="A120" s="58"/>
      <c r="B120" s="158" t="s">
        <v>71</v>
      </c>
      <c r="C120" s="178">
        <f t="shared" ref="C120:H120" si="88">C121+C124</f>
        <v>44475</v>
      </c>
      <c r="D120" s="178">
        <f t="shared" si="88"/>
        <v>61314</v>
      </c>
      <c r="E120" s="178">
        <f t="shared" si="88"/>
        <v>93434</v>
      </c>
      <c r="F120" s="178">
        <f t="shared" si="88"/>
        <v>94365</v>
      </c>
      <c r="G120" s="178">
        <f t="shared" si="88"/>
        <v>99219</v>
      </c>
      <c r="H120" s="178">
        <f t="shared" si="88"/>
        <v>96001</v>
      </c>
      <c r="I120" s="179">
        <f>IFERROR(H120/G120-1,"-")</f>
        <v>-3.2433304105060512E-2</v>
      </c>
      <c r="J120" s="179">
        <f t="shared" ref="J120:J132" si="89">H120/H$8</f>
        <v>0.12629849285368472</v>
      </c>
      <c r="K120" s="178">
        <f t="shared" ref="K120:P120" si="90">K121+K124</f>
        <v>46941</v>
      </c>
      <c r="L120" s="178">
        <f t="shared" si="90"/>
        <v>102944</v>
      </c>
      <c r="M120" s="178">
        <f t="shared" si="90"/>
        <v>135697</v>
      </c>
      <c r="N120" s="178">
        <f t="shared" si="90"/>
        <v>145679</v>
      </c>
      <c r="O120" s="178">
        <f t="shared" si="90"/>
        <v>151188</v>
      </c>
      <c r="P120" s="178">
        <f t="shared" si="90"/>
        <v>186600</v>
      </c>
      <c r="Q120" s="179">
        <f>IFERROR(P120/O120-1,"-")</f>
        <v>0.23422493848718151</v>
      </c>
      <c r="R120" s="179">
        <f t="shared" ref="R120:R132" si="91">P120/P$8</f>
        <v>5.4264109177293872E-2</v>
      </c>
      <c r="S120" s="178">
        <f>S121+S124</f>
        <v>91416</v>
      </c>
      <c r="T120" s="178">
        <f>T121+T124</f>
        <v>229131</v>
      </c>
      <c r="U120" s="178">
        <f>U121+U124</f>
        <v>240044</v>
      </c>
      <c r="V120" s="178">
        <f>V121+V124</f>
        <v>250407</v>
      </c>
      <c r="W120" s="178">
        <f>W121+W124</f>
        <v>282601</v>
      </c>
      <c r="X120" s="179">
        <f>IFERROR(W120/V120-1,"-")</f>
        <v>0.12856669342310711</v>
      </c>
      <c r="Y120" s="179">
        <f>W120/W$8</f>
        <v>6.7304396990699122E-2</v>
      </c>
    </row>
    <row r="121" spans="1:25" x14ac:dyDescent="0.25">
      <c r="A121" s="58"/>
      <c r="B121" s="161" t="s">
        <v>100</v>
      </c>
      <c r="C121" s="162">
        <v>21565</v>
      </c>
      <c r="D121" s="162">
        <v>32824</v>
      </c>
      <c r="E121" s="162">
        <v>51574</v>
      </c>
      <c r="F121" s="162">
        <v>61454</v>
      </c>
      <c r="G121" s="162">
        <v>66290</v>
      </c>
      <c r="H121" s="162">
        <v>61164</v>
      </c>
      <c r="I121" s="163">
        <f>IFERROR(H121/G121-1,"-")</f>
        <v>-7.732689696786843E-2</v>
      </c>
      <c r="J121" s="163">
        <f t="shared" si="89"/>
        <v>8.0467089060559494E-2</v>
      </c>
      <c r="K121" s="162">
        <v>31314</v>
      </c>
      <c r="L121" s="162">
        <v>71733</v>
      </c>
      <c r="M121" s="162">
        <v>83312</v>
      </c>
      <c r="N121" s="162">
        <v>85760</v>
      </c>
      <c r="O121" s="162">
        <v>89698</v>
      </c>
      <c r="P121" s="162">
        <v>117239</v>
      </c>
      <c r="Q121" s="163">
        <f>IFERROR(P121/O121-1,"-")</f>
        <v>0.30704140560547621</v>
      </c>
      <c r="R121" s="163">
        <f t="shared" si="91"/>
        <v>3.4093622164184115E-2</v>
      </c>
      <c r="S121" s="162">
        <v>52879</v>
      </c>
      <c r="T121" s="162">
        <v>134886</v>
      </c>
      <c r="U121" s="162">
        <v>147214</v>
      </c>
      <c r="V121" s="162">
        <v>155988</v>
      </c>
      <c r="W121" s="162">
        <v>178403</v>
      </c>
      <c r="X121" s="163">
        <f>IFERROR(W121/V121-1,"-")</f>
        <v>0.14369695104751656</v>
      </c>
      <c r="Y121" s="163">
        <f>W121/W$8</f>
        <v>4.2488548647498396E-2</v>
      </c>
    </row>
    <row r="122" spans="1:25" x14ac:dyDescent="0.25">
      <c r="A122" s="58"/>
      <c r="B122" s="165" t="s">
        <v>106</v>
      </c>
      <c r="C122" s="166">
        <v>10392</v>
      </c>
      <c r="D122" s="166">
        <v>15693</v>
      </c>
      <c r="E122" s="166">
        <v>29334</v>
      </c>
      <c r="F122" s="166">
        <v>30291</v>
      </c>
      <c r="G122" s="166">
        <v>37901</v>
      </c>
      <c r="H122" s="166">
        <v>37417</v>
      </c>
      <c r="I122" s="167">
        <f>IFERROR(H122/G122-1,"-")</f>
        <v>-1.2770111606553947E-2</v>
      </c>
      <c r="J122" s="167">
        <f t="shared" si="89"/>
        <v>4.9225640431936349E-2</v>
      </c>
      <c r="K122" s="166">
        <v>13684</v>
      </c>
      <c r="L122" s="166">
        <v>37554</v>
      </c>
      <c r="M122" s="166">
        <v>40531</v>
      </c>
      <c r="N122" s="166">
        <v>36734</v>
      </c>
      <c r="O122" s="166">
        <v>37287</v>
      </c>
      <c r="P122" s="166">
        <v>56045</v>
      </c>
      <c r="Q122" s="167">
        <f>IFERROR(P122/O122-1,"-")</f>
        <v>0.50307077533724898</v>
      </c>
      <c r="R122" s="167">
        <f t="shared" si="91"/>
        <v>1.6298135042022696E-2</v>
      </c>
      <c r="S122" s="166">
        <v>24076</v>
      </c>
      <c r="T122" s="166">
        <v>69865</v>
      </c>
      <c r="U122" s="166">
        <v>67025</v>
      </c>
      <c r="V122" s="166">
        <v>75188</v>
      </c>
      <c r="W122" s="166">
        <v>93462</v>
      </c>
      <c r="X122" s="167">
        <f>IFERROR(W122/V122-1,"-")</f>
        <v>0.24304410278235888</v>
      </c>
      <c r="Y122" s="167">
        <f>W122/W$8</f>
        <v>2.2258957157068521E-2</v>
      </c>
    </row>
    <row r="123" spans="1:25" x14ac:dyDescent="0.25">
      <c r="A123" s="58"/>
      <c r="B123" s="165" t="s">
        <v>103</v>
      </c>
      <c r="C123" s="166">
        <v>11173</v>
      </c>
      <c r="D123" s="166">
        <v>17131</v>
      </c>
      <c r="E123" s="166">
        <v>22240</v>
      </c>
      <c r="F123" s="166">
        <v>31163</v>
      </c>
      <c r="G123" s="166">
        <v>28389</v>
      </c>
      <c r="H123" s="166">
        <v>23747</v>
      </c>
      <c r="I123" s="167">
        <f>IFERROR(H123/G123-1,"-")</f>
        <v>-0.16351403712705626</v>
      </c>
      <c r="J123" s="167">
        <f t="shared" si="89"/>
        <v>3.1241448628623152E-2</v>
      </c>
      <c r="K123" s="166">
        <v>17630</v>
      </c>
      <c r="L123" s="166">
        <v>34179</v>
      </c>
      <c r="M123" s="166">
        <v>42781</v>
      </c>
      <c r="N123" s="166">
        <v>49026</v>
      </c>
      <c r="O123" s="166">
        <v>52411</v>
      </c>
      <c r="P123" s="166">
        <v>61194</v>
      </c>
      <c r="Q123" s="167">
        <f>IFERROR(P123/O123-1,"-")</f>
        <v>0.16757932495086902</v>
      </c>
      <c r="R123" s="167">
        <f t="shared" si="91"/>
        <v>1.7795487122161422E-2</v>
      </c>
      <c r="S123" s="166">
        <v>28803</v>
      </c>
      <c r="T123" s="166">
        <v>65021</v>
      </c>
      <c r="U123" s="166">
        <v>80189</v>
      </c>
      <c r="V123" s="166">
        <v>80800</v>
      </c>
      <c r="W123" s="166">
        <v>84941</v>
      </c>
      <c r="X123" s="167">
        <f>IFERROR(W123/V123-1,"-")</f>
        <v>5.1250000000000018E-2</v>
      </c>
      <c r="Y123" s="167">
        <f>W123/W$8</f>
        <v>2.0229591490429879E-2</v>
      </c>
    </row>
    <row r="124" spans="1:25" x14ac:dyDescent="0.25">
      <c r="A124" s="58"/>
      <c r="B124" s="161" t="s">
        <v>110</v>
      </c>
      <c r="C124" s="162">
        <v>22910</v>
      </c>
      <c r="D124" s="162">
        <v>28490</v>
      </c>
      <c r="E124" s="162">
        <v>41860</v>
      </c>
      <c r="F124" s="162">
        <v>32911</v>
      </c>
      <c r="G124" s="162">
        <v>32929</v>
      </c>
      <c r="H124" s="162">
        <v>34837</v>
      </c>
      <c r="I124" s="163">
        <f>IFERROR(H124/G124-1,"-")</f>
        <v>5.7942846730845154E-2</v>
      </c>
      <c r="J124" s="163">
        <f t="shared" si="89"/>
        <v>4.5831403793125225E-2</v>
      </c>
      <c r="K124" s="162">
        <v>15627</v>
      </c>
      <c r="L124" s="162">
        <v>31211</v>
      </c>
      <c r="M124" s="162">
        <v>52385</v>
      </c>
      <c r="N124" s="162">
        <v>59919</v>
      </c>
      <c r="O124" s="162">
        <v>61490</v>
      </c>
      <c r="P124" s="162">
        <v>69361</v>
      </c>
      <c r="Q124" s="163">
        <f>IFERROR(P124/O124-1,"-")</f>
        <v>0.12800455358594887</v>
      </c>
      <c r="R124" s="163">
        <f t="shared" si="91"/>
        <v>2.0170487013109754E-2</v>
      </c>
      <c r="S124" s="162">
        <v>38537</v>
      </c>
      <c r="T124" s="162">
        <v>94245</v>
      </c>
      <c r="U124" s="162">
        <v>92830</v>
      </c>
      <c r="V124" s="162">
        <v>94419</v>
      </c>
      <c r="W124" s="162">
        <v>104198</v>
      </c>
      <c r="X124" s="163">
        <f>IFERROR(W124/V124-1,"-")</f>
        <v>0.10357025598661296</v>
      </c>
      <c r="Y124" s="163">
        <f>W124/W$8</f>
        <v>2.4815848343200719E-2</v>
      </c>
    </row>
    <row r="125" spans="1:25" s="58" customFormat="1" x14ac:dyDescent="0.25">
      <c r="B125" s="165" t="s">
        <v>113</v>
      </c>
      <c r="C125" s="166">
        <v>1377</v>
      </c>
      <c r="D125" s="166">
        <v>653</v>
      </c>
      <c r="E125" s="166">
        <v>2495</v>
      </c>
      <c r="F125" s="166">
        <v>3075</v>
      </c>
      <c r="G125" s="166">
        <v>2418</v>
      </c>
      <c r="H125" s="166">
        <v>2592</v>
      </c>
      <c r="I125" s="167">
        <f t="shared" ref="I125:I132" si="92">IFERROR(H125/G125-1,"-")</f>
        <v>7.1960297766749282E-2</v>
      </c>
      <c r="J125" s="167">
        <f t="shared" si="89"/>
        <v>3.4100237859683836E-3</v>
      </c>
      <c r="K125" s="166">
        <v>2329</v>
      </c>
      <c r="L125" s="166">
        <v>2683</v>
      </c>
      <c r="M125" s="166">
        <v>7422</v>
      </c>
      <c r="N125" s="166">
        <v>8579</v>
      </c>
      <c r="O125" s="166">
        <v>8260</v>
      </c>
      <c r="P125" s="166">
        <v>7864</v>
      </c>
      <c r="Q125" s="167">
        <f t="shared" ref="Q125:Q132" si="93">IFERROR(P125/O125-1,"-")</f>
        <v>-4.7941888619854711E-2</v>
      </c>
      <c r="R125" s="167">
        <f t="shared" si="91"/>
        <v>2.2868861445350429E-3</v>
      </c>
      <c r="S125" s="166">
        <v>3706</v>
      </c>
      <c r="T125" s="166">
        <v>9917</v>
      </c>
      <c r="U125" s="166">
        <v>11654</v>
      </c>
      <c r="V125" s="166">
        <v>10678</v>
      </c>
      <c r="W125" s="166">
        <v>10456</v>
      </c>
      <c r="X125" s="167">
        <f t="shared" ref="X125:X132" si="94">IFERROR(W125/V125-1,"-")</f>
        <v>-2.0790410189174047E-2</v>
      </c>
      <c r="Y125" s="167">
        <f t="shared" ref="Y125:Y132" si="95">W125/W$8</f>
        <v>2.4902062446160839E-3</v>
      </c>
    </row>
    <row r="126" spans="1:25" s="58" customFormat="1" x14ac:dyDescent="0.25">
      <c r="B126" s="165" t="s">
        <v>116</v>
      </c>
      <c r="C126" s="166">
        <v>1696</v>
      </c>
      <c r="D126" s="166">
        <v>2401</v>
      </c>
      <c r="E126" s="166">
        <v>4143</v>
      </c>
      <c r="F126" s="166">
        <v>4499</v>
      </c>
      <c r="G126" s="166">
        <v>4518</v>
      </c>
      <c r="H126" s="166">
        <v>5144</v>
      </c>
      <c r="I126" s="167">
        <f t="shared" si="92"/>
        <v>0.13855688357680385</v>
      </c>
      <c r="J126" s="167">
        <f t="shared" si="89"/>
        <v>6.7674237480792303E-3</v>
      </c>
      <c r="K126" s="166">
        <v>2180</v>
      </c>
      <c r="L126" s="166">
        <v>4913</v>
      </c>
      <c r="M126" s="166">
        <v>7118</v>
      </c>
      <c r="N126" s="166">
        <v>8816</v>
      </c>
      <c r="O126" s="166">
        <v>8623</v>
      </c>
      <c r="P126" s="166">
        <v>10273</v>
      </c>
      <c r="Q126" s="167">
        <f t="shared" si="93"/>
        <v>0.19134871854343038</v>
      </c>
      <c r="R126" s="167">
        <f t="shared" si="91"/>
        <v>2.9874340491872452E-3</v>
      </c>
      <c r="S126" s="166">
        <v>3876</v>
      </c>
      <c r="T126" s="166">
        <v>11261</v>
      </c>
      <c r="U126" s="166">
        <v>13315</v>
      </c>
      <c r="V126" s="166">
        <v>13141</v>
      </c>
      <c r="W126" s="166">
        <v>15417</v>
      </c>
      <c r="X126" s="167">
        <f t="shared" si="94"/>
        <v>0.17319838672855936</v>
      </c>
      <c r="Y126" s="167">
        <f t="shared" si="95"/>
        <v>3.6717205119784018E-3</v>
      </c>
    </row>
    <row r="127" spans="1:25" x14ac:dyDescent="0.25">
      <c r="A127" s="58"/>
      <c r="B127" s="165" t="s">
        <v>119</v>
      </c>
      <c r="C127" s="166">
        <v>1277</v>
      </c>
      <c r="D127" s="166">
        <v>2102</v>
      </c>
      <c r="E127" s="166">
        <v>2821</v>
      </c>
      <c r="F127" s="166">
        <v>3024</v>
      </c>
      <c r="G127" s="166">
        <v>2762</v>
      </c>
      <c r="H127" s="166">
        <v>2930</v>
      </c>
      <c r="I127" s="167">
        <f t="shared" si="92"/>
        <v>6.0825488776249159E-2</v>
      </c>
      <c r="J127" s="167">
        <f t="shared" si="89"/>
        <v>3.8546950975645693E-3</v>
      </c>
      <c r="K127" s="166">
        <v>1497</v>
      </c>
      <c r="L127" s="166">
        <v>5032</v>
      </c>
      <c r="M127" s="166">
        <v>5703</v>
      </c>
      <c r="N127" s="166">
        <v>5756</v>
      </c>
      <c r="O127" s="166">
        <v>5825</v>
      </c>
      <c r="P127" s="166">
        <v>6604</v>
      </c>
      <c r="Q127" s="167">
        <f t="shared" si="93"/>
        <v>0.13373390557939913</v>
      </c>
      <c r="R127" s="167">
        <f t="shared" si="91"/>
        <v>1.9204725455886857E-3</v>
      </c>
      <c r="S127" s="166">
        <v>2774</v>
      </c>
      <c r="T127" s="166">
        <v>8524</v>
      </c>
      <c r="U127" s="166">
        <v>8780</v>
      </c>
      <c r="V127" s="166">
        <v>8587</v>
      </c>
      <c r="W127" s="166">
        <v>9534</v>
      </c>
      <c r="X127" s="167">
        <f t="shared" si="94"/>
        <v>0.11028298590893204</v>
      </c>
      <c r="Y127" s="167">
        <f t="shared" si="95"/>
        <v>2.2706222586237322E-3</v>
      </c>
    </row>
    <row r="128" spans="1:25" x14ac:dyDescent="0.25">
      <c r="A128" s="58"/>
      <c r="B128" s="165" t="s">
        <v>126</v>
      </c>
      <c r="C128" s="166">
        <v>359</v>
      </c>
      <c r="D128" s="166">
        <v>359</v>
      </c>
      <c r="E128" s="166">
        <v>801</v>
      </c>
      <c r="F128" s="166">
        <v>649</v>
      </c>
      <c r="G128" s="166">
        <v>650</v>
      </c>
      <c r="H128" s="166">
        <v>829</v>
      </c>
      <c r="I128" s="167">
        <f t="shared" si="92"/>
        <v>0.27538461538461534</v>
      </c>
      <c r="J128" s="167">
        <f t="shared" si="89"/>
        <v>1.0906287494474498E-3</v>
      </c>
      <c r="K128" s="166">
        <v>356</v>
      </c>
      <c r="L128" s="166">
        <v>974</v>
      </c>
      <c r="M128" s="166">
        <v>1772</v>
      </c>
      <c r="N128" s="166">
        <v>1988</v>
      </c>
      <c r="O128" s="166">
        <v>1706</v>
      </c>
      <c r="P128" s="166">
        <v>1937</v>
      </c>
      <c r="Q128" s="167">
        <f t="shared" si="93"/>
        <v>0.13540445486518182</v>
      </c>
      <c r="R128" s="167">
        <f t="shared" si="91"/>
        <v>5.6328820726912233E-4</v>
      </c>
      <c r="S128" s="166">
        <v>715</v>
      </c>
      <c r="T128" s="166">
        <v>2573</v>
      </c>
      <c r="U128" s="166">
        <v>2637</v>
      </c>
      <c r="V128" s="166">
        <v>2356</v>
      </c>
      <c r="W128" s="166">
        <v>2766</v>
      </c>
      <c r="X128" s="167">
        <f t="shared" si="94"/>
        <v>0.17402376910016981</v>
      </c>
      <c r="Y128" s="167">
        <f t="shared" si="95"/>
        <v>6.5875195797705517E-4</v>
      </c>
    </row>
    <row r="129" spans="1:25" x14ac:dyDescent="0.25">
      <c r="A129" s="58"/>
      <c r="B129" s="165" t="s">
        <v>122</v>
      </c>
      <c r="C129" s="166">
        <v>303</v>
      </c>
      <c r="D129" s="166">
        <v>312</v>
      </c>
      <c r="E129" s="166">
        <v>635</v>
      </c>
      <c r="F129" s="166">
        <v>527</v>
      </c>
      <c r="G129" s="166">
        <v>600</v>
      </c>
      <c r="H129" s="166">
        <v>555</v>
      </c>
      <c r="I129" s="167">
        <f t="shared" si="92"/>
        <v>-7.4999999999999956E-2</v>
      </c>
      <c r="J129" s="167">
        <f t="shared" si="89"/>
        <v>7.3015555602332289E-4</v>
      </c>
      <c r="K129" s="166">
        <v>453</v>
      </c>
      <c r="L129" s="166">
        <v>1045</v>
      </c>
      <c r="M129" s="166">
        <v>1201</v>
      </c>
      <c r="N129" s="166">
        <v>1408</v>
      </c>
      <c r="O129" s="166">
        <v>1497</v>
      </c>
      <c r="P129" s="166">
        <v>1985</v>
      </c>
      <c r="Q129" s="167">
        <f t="shared" si="93"/>
        <v>0.32598530394121572</v>
      </c>
      <c r="R129" s="167">
        <f t="shared" si="91"/>
        <v>5.7724682056231689E-4</v>
      </c>
      <c r="S129" s="166">
        <v>756</v>
      </c>
      <c r="T129" s="166">
        <v>1836</v>
      </c>
      <c r="U129" s="166">
        <v>1935</v>
      </c>
      <c r="V129" s="166">
        <v>2097</v>
      </c>
      <c r="W129" s="166">
        <v>2540</v>
      </c>
      <c r="X129" s="167">
        <f t="shared" si="94"/>
        <v>0.21125417262756319</v>
      </c>
      <c r="Y129" s="167">
        <f t="shared" si="95"/>
        <v>6.0492768375333336E-4</v>
      </c>
    </row>
    <row r="130" spans="1:25" x14ac:dyDescent="0.25">
      <c r="A130" s="58"/>
      <c r="B130" s="165" t="s">
        <v>131</v>
      </c>
      <c r="C130" s="166">
        <v>183</v>
      </c>
      <c r="D130" s="166">
        <v>123</v>
      </c>
      <c r="E130" s="166">
        <v>250</v>
      </c>
      <c r="F130" s="166">
        <v>204</v>
      </c>
      <c r="G130" s="166">
        <v>235</v>
      </c>
      <c r="H130" s="166">
        <v>295</v>
      </c>
      <c r="I130" s="167">
        <f t="shared" si="92"/>
        <v>0.25531914893617014</v>
      </c>
      <c r="J130" s="167">
        <f t="shared" si="89"/>
        <v>3.8810070094933379E-4</v>
      </c>
      <c r="K130" s="166">
        <v>488</v>
      </c>
      <c r="L130" s="166">
        <v>432</v>
      </c>
      <c r="M130" s="166">
        <v>825</v>
      </c>
      <c r="N130" s="166">
        <v>1138</v>
      </c>
      <c r="O130" s="166">
        <v>1099</v>
      </c>
      <c r="P130" s="166">
        <v>833</v>
      </c>
      <c r="Q130" s="167">
        <f t="shared" si="93"/>
        <v>-0.2420382165605095</v>
      </c>
      <c r="R130" s="167">
        <f t="shared" si="91"/>
        <v>2.4224010152564736E-4</v>
      </c>
      <c r="S130" s="166">
        <v>671</v>
      </c>
      <c r="T130" s="166">
        <v>1075</v>
      </c>
      <c r="U130" s="166">
        <v>1342</v>
      </c>
      <c r="V130" s="166">
        <v>1334</v>
      </c>
      <c r="W130" s="166">
        <v>1128</v>
      </c>
      <c r="X130" s="167">
        <f t="shared" si="94"/>
        <v>-0.15442278860569714</v>
      </c>
      <c r="Y130" s="167">
        <f t="shared" si="95"/>
        <v>2.6864505010777955E-4</v>
      </c>
    </row>
    <row r="131" spans="1:25" x14ac:dyDescent="0.25">
      <c r="A131" s="58"/>
      <c r="B131" s="165" t="s">
        <v>134</v>
      </c>
      <c r="C131" s="166">
        <v>199</v>
      </c>
      <c r="D131" s="166">
        <v>177</v>
      </c>
      <c r="E131" s="166">
        <v>253</v>
      </c>
      <c r="F131" s="166">
        <v>358</v>
      </c>
      <c r="G131" s="166">
        <v>387</v>
      </c>
      <c r="H131" s="166">
        <v>299</v>
      </c>
      <c r="I131" s="167">
        <f t="shared" si="92"/>
        <v>-0.22739018087855301</v>
      </c>
      <c r="J131" s="167">
        <f t="shared" si="89"/>
        <v>3.9336308333508746E-4</v>
      </c>
      <c r="K131" s="166">
        <v>882</v>
      </c>
      <c r="L131" s="166">
        <v>742</v>
      </c>
      <c r="M131" s="166">
        <v>1632</v>
      </c>
      <c r="N131" s="166">
        <v>2097</v>
      </c>
      <c r="O131" s="166">
        <v>2115</v>
      </c>
      <c r="P131" s="166">
        <v>2068</v>
      </c>
      <c r="Q131" s="167">
        <f t="shared" si="93"/>
        <v>-2.2222222222222254E-2</v>
      </c>
      <c r="R131" s="167">
        <f t="shared" si="91"/>
        <v>6.0138358938179916E-4</v>
      </c>
      <c r="S131" s="166">
        <v>1081</v>
      </c>
      <c r="T131" s="166">
        <v>1885</v>
      </c>
      <c r="U131" s="166">
        <v>2455</v>
      </c>
      <c r="V131" s="166">
        <v>2502</v>
      </c>
      <c r="W131" s="166">
        <v>2367</v>
      </c>
      <c r="X131" s="167">
        <f t="shared" si="94"/>
        <v>-5.3956834532374098E-2</v>
      </c>
      <c r="Y131" s="167">
        <f t="shared" si="95"/>
        <v>5.6372591631659058E-4</v>
      </c>
    </row>
    <row r="132" spans="1:25" x14ac:dyDescent="0.25">
      <c r="A132" s="58"/>
      <c r="B132" s="170" t="s">
        <v>148</v>
      </c>
      <c r="C132" s="171">
        <f t="shared" ref="C132" si="96">C124-SUM(C125:C131)</f>
        <v>17516</v>
      </c>
      <c r="D132" s="171">
        <f t="shared" ref="D132:H132" si="97">D124-SUM(D125:D131)</f>
        <v>22363</v>
      </c>
      <c r="E132" s="171">
        <f t="shared" si="97"/>
        <v>30462</v>
      </c>
      <c r="F132" s="171">
        <f t="shared" si="97"/>
        <v>20575</v>
      </c>
      <c r="G132" s="171">
        <f t="shared" si="97"/>
        <v>21359</v>
      </c>
      <c r="H132" s="171">
        <f t="shared" si="97"/>
        <v>22193</v>
      </c>
      <c r="I132" s="172">
        <f t="shared" si="92"/>
        <v>3.9046771852614848E-2</v>
      </c>
      <c r="J132" s="172">
        <f t="shared" si="89"/>
        <v>2.9197013071757847E-2</v>
      </c>
      <c r="K132" s="171">
        <f t="shared" ref="K132:P132" si="98">K124-SUM(K125:K131)</f>
        <v>7442</v>
      </c>
      <c r="L132" s="171">
        <f t="shared" si="98"/>
        <v>15390</v>
      </c>
      <c r="M132" s="171">
        <f t="shared" si="98"/>
        <v>26712</v>
      </c>
      <c r="N132" s="171">
        <f t="shared" si="98"/>
        <v>30137</v>
      </c>
      <c r="O132" s="171">
        <f t="shared" si="98"/>
        <v>32365</v>
      </c>
      <c r="P132" s="171">
        <f t="shared" si="98"/>
        <v>37797</v>
      </c>
      <c r="Q132" s="172">
        <f t="shared" si="93"/>
        <v>0.16783562490344517</v>
      </c>
      <c r="R132" s="172">
        <f t="shared" si="91"/>
        <v>1.0991535555059896E-2</v>
      </c>
      <c r="S132" s="171">
        <f>S124-SUM(S125:S131)</f>
        <v>24958</v>
      </c>
      <c r="T132" s="171">
        <f>T124-SUM(T125:T131)</f>
        <v>57174</v>
      </c>
      <c r="U132" s="171">
        <f>U124-SUM(U125:U131)</f>
        <v>50712</v>
      </c>
      <c r="V132" s="171">
        <f>V124-SUM(V125:V131)</f>
        <v>53724</v>
      </c>
      <c r="W132" s="171">
        <f>W124-SUM(W125:W131)</f>
        <v>59990</v>
      </c>
      <c r="X132" s="172">
        <f t="shared" si="94"/>
        <v>0.11663316208770746</v>
      </c>
      <c r="Y132" s="172">
        <f t="shared" si="95"/>
        <v>1.4287248719827743E-2</v>
      </c>
    </row>
    <row r="133" spans="1:25" x14ac:dyDescent="0.25">
      <c r="A133" s="58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</row>
    <row r="134" spans="1:25" x14ac:dyDescent="0.25">
      <c r="A134" s="58"/>
      <c r="B134" s="158" t="s">
        <v>71</v>
      </c>
      <c r="C134" s="178">
        <f t="shared" ref="C134:H134" si="99">C135+C138</f>
        <v>9862</v>
      </c>
      <c r="D134" s="178">
        <f t="shared" si="99"/>
        <v>24847</v>
      </c>
      <c r="E134" s="178">
        <f t="shared" si="99"/>
        <v>47385</v>
      </c>
      <c r="F134" s="178">
        <f t="shared" si="99"/>
        <v>49008</v>
      </c>
      <c r="G134" s="178">
        <f t="shared" si="99"/>
        <v>52595</v>
      </c>
      <c r="H134" s="178">
        <f t="shared" si="99"/>
        <v>50627</v>
      </c>
      <c r="I134" s="179">
        <f>IFERROR(H134/G134-1,"-")</f>
        <v>-3.741800551383212E-2</v>
      </c>
      <c r="J134" s="179">
        <f t="shared" ref="J134:J146" si="100">H134/H$8</f>
        <v>6.6604658260887864E-2</v>
      </c>
      <c r="K134" s="178">
        <f t="shared" ref="K134:P134" si="101">K135+K138</f>
        <v>40956</v>
      </c>
      <c r="L134" s="178">
        <f t="shared" si="101"/>
        <v>64147</v>
      </c>
      <c r="M134" s="178">
        <f t="shared" si="101"/>
        <v>163913</v>
      </c>
      <c r="N134" s="178">
        <f t="shared" si="101"/>
        <v>182213</v>
      </c>
      <c r="O134" s="178">
        <f t="shared" si="101"/>
        <v>183875</v>
      </c>
      <c r="P134" s="178">
        <f t="shared" si="101"/>
        <v>182150</v>
      </c>
      <c r="Q134" s="179">
        <f>IFERROR(P134/O134-1,"-")</f>
        <v>-9.3813732154996998E-3</v>
      </c>
      <c r="R134" s="179">
        <f t="shared" ref="R134:R146" si="102">P134/P$8</f>
        <v>5.2970029403237293E-2</v>
      </c>
      <c r="S134" s="178">
        <f>S135+S138</f>
        <v>71022</v>
      </c>
      <c r="T134" s="178">
        <f>T135+T138</f>
        <v>211298</v>
      </c>
      <c r="U134" s="178">
        <f>U135+U138</f>
        <v>231221</v>
      </c>
      <c r="V134" s="178">
        <f>V135+V138</f>
        <v>236470</v>
      </c>
      <c r="W134" s="178">
        <f>W135+W138</f>
        <v>232777</v>
      </c>
      <c r="X134" s="179">
        <f>IFERROR(W134/V134-1,"-")</f>
        <v>-1.5617203027868176E-2</v>
      </c>
      <c r="Y134" s="179">
        <f>W134/W$8</f>
        <v>5.5438287968917199E-2</v>
      </c>
    </row>
    <row r="135" spans="1:25" x14ac:dyDescent="0.25">
      <c r="A135" s="58"/>
      <c r="B135" s="161" t="s">
        <v>100</v>
      </c>
      <c r="C135" s="162">
        <v>2454</v>
      </c>
      <c r="D135" s="162">
        <v>6270</v>
      </c>
      <c r="E135" s="162">
        <v>5486</v>
      </c>
      <c r="F135" s="162">
        <v>7999</v>
      </c>
      <c r="G135" s="162">
        <v>6701</v>
      </c>
      <c r="H135" s="162">
        <v>3206</v>
      </c>
      <c r="I135" s="163">
        <f>IFERROR(H135/G135-1,"-")</f>
        <v>-0.52156394567974929</v>
      </c>
      <c r="J135" s="163">
        <f t="shared" si="100"/>
        <v>4.2177994821815728E-3</v>
      </c>
      <c r="K135" s="162">
        <v>6197</v>
      </c>
      <c r="L135" s="162">
        <v>14861</v>
      </c>
      <c r="M135" s="162">
        <v>15843</v>
      </c>
      <c r="N135" s="162">
        <v>16817</v>
      </c>
      <c r="O135" s="162">
        <v>14783</v>
      </c>
      <c r="P135" s="162">
        <v>20539</v>
      </c>
      <c r="Q135" s="163">
        <f>IFERROR(P135/O135-1,"-")</f>
        <v>0.38936616383683953</v>
      </c>
      <c r="R135" s="163">
        <f t="shared" si="102"/>
        <v>5.9728324672692328E-3</v>
      </c>
      <c r="S135" s="162">
        <v>18253</v>
      </c>
      <c r="T135" s="162">
        <v>21329</v>
      </c>
      <c r="U135" s="162">
        <v>24816</v>
      </c>
      <c r="V135" s="162">
        <v>21484</v>
      </c>
      <c r="W135" s="162">
        <v>23745</v>
      </c>
      <c r="X135" s="163">
        <f>IFERROR(W135/V135-1,"-")</f>
        <v>0.10524110966300504</v>
      </c>
      <c r="Y135" s="163">
        <f>W135/W$8</f>
        <v>5.6551212010720079E-3</v>
      </c>
    </row>
    <row r="136" spans="1:25" x14ac:dyDescent="0.25">
      <c r="A136" s="58"/>
      <c r="B136" s="165" t="s">
        <v>106</v>
      </c>
      <c r="C136" s="166">
        <v>2454</v>
      </c>
      <c r="D136" s="166">
        <v>6270</v>
      </c>
      <c r="E136" s="166">
        <v>5415</v>
      </c>
      <c r="F136" s="166">
        <v>7999</v>
      </c>
      <c r="G136" s="166">
        <v>6701</v>
      </c>
      <c r="H136" s="166">
        <v>3206</v>
      </c>
      <c r="I136" s="167">
        <f>IFERROR(H136/G136-1,"-")</f>
        <v>-0.52156394567974929</v>
      </c>
      <c r="J136" s="167">
        <f t="shared" si="100"/>
        <v>4.2177994821815728E-3</v>
      </c>
      <c r="K136" s="166">
        <v>3528</v>
      </c>
      <c r="L136" s="166">
        <v>8710</v>
      </c>
      <c r="M136" s="166">
        <v>9264</v>
      </c>
      <c r="N136" s="166">
        <v>8253</v>
      </c>
      <c r="O136" s="166">
        <v>6321</v>
      </c>
      <c r="P136" s="166">
        <v>11324</v>
      </c>
      <c r="Q136" s="167">
        <f>IFERROR(P136/O136-1,"-")</f>
        <v>0.79148868849865517</v>
      </c>
      <c r="R136" s="167">
        <f t="shared" si="102"/>
        <v>3.2930695194194845E-3</v>
      </c>
      <c r="S136" s="166">
        <v>13223</v>
      </c>
      <c r="T136" s="166">
        <v>14679</v>
      </c>
      <c r="U136" s="166">
        <v>16252</v>
      </c>
      <c r="V136" s="166">
        <v>13022</v>
      </c>
      <c r="W136" s="166">
        <v>14530</v>
      </c>
      <c r="X136" s="167">
        <f>IFERROR(W136/V136-1,"-")</f>
        <v>0.11580402395945333</v>
      </c>
      <c r="Y136" s="167">
        <f>W136/W$8</f>
        <v>3.4604721436755645E-3</v>
      </c>
    </row>
    <row r="137" spans="1:25" x14ac:dyDescent="0.25">
      <c r="A137" s="58"/>
      <c r="B137" s="165" t="s">
        <v>103</v>
      </c>
      <c r="C137" s="166">
        <v>0</v>
      </c>
      <c r="D137" s="166">
        <v>0</v>
      </c>
      <c r="E137" s="166">
        <v>71</v>
      </c>
      <c r="F137" s="166">
        <v>0</v>
      </c>
      <c r="G137" s="166">
        <v>0</v>
      </c>
      <c r="H137" s="166">
        <v>0</v>
      </c>
      <c r="I137" s="167" t="str">
        <f>IFERROR(H137/G137-1,"-")</f>
        <v>-</v>
      </c>
      <c r="J137" s="167">
        <f t="shared" si="100"/>
        <v>0</v>
      </c>
      <c r="K137" s="166">
        <v>2669</v>
      </c>
      <c r="L137" s="166">
        <v>6151</v>
      </c>
      <c r="M137" s="166">
        <v>6579</v>
      </c>
      <c r="N137" s="166">
        <v>8564</v>
      </c>
      <c r="O137" s="166">
        <v>8462</v>
      </c>
      <c r="P137" s="166">
        <v>9215</v>
      </c>
      <c r="Q137" s="167">
        <f>IFERROR(P137/O137-1,"-")</f>
        <v>8.8986055306074174E-2</v>
      </c>
      <c r="R137" s="167">
        <f t="shared" si="102"/>
        <v>2.6797629478497484E-3</v>
      </c>
      <c r="S137" s="166">
        <v>5030</v>
      </c>
      <c r="T137" s="166">
        <v>6650</v>
      </c>
      <c r="U137" s="166">
        <v>8564</v>
      </c>
      <c r="V137" s="166">
        <v>8462</v>
      </c>
      <c r="W137" s="166">
        <v>9215</v>
      </c>
      <c r="X137" s="167">
        <f>IFERROR(W137/V137-1,"-")</f>
        <v>8.8986055306074174E-2</v>
      </c>
      <c r="Y137" s="167">
        <f>W137/W$8</f>
        <v>2.1946490573964438E-3</v>
      </c>
    </row>
    <row r="138" spans="1:25" x14ac:dyDescent="0.25">
      <c r="A138" s="58"/>
      <c r="B138" s="161" t="s">
        <v>110</v>
      </c>
      <c r="C138" s="162">
        <v>7408</v>
      </c>
      <c r="D138" s="162">
        <v>18577</v>
      </c>
      <c r="E138" s="162">
        <v>41899</v>
      </c>
      <c r="F138" s="162">
        <v>41009</v>
      </c>
      <c r="G138" s="162">
        <v>45894</v>
      </c>
      <c r="H138" s="162">
        <v>47421</v>
      </c>
      <c r="I138" s="163">
        <f>IFERROR(H138/G138-1,"-")</f>
        <v>3.3272323179500685E-2</v>
      </c>
      <c r="J138" s="163">
        <f t="shared" si="100"/>
        <v>6.2386858778706297E-2</v>
      </c>
      <c r="K138" s="162">
        <v>34759</v>
      </c>
      <c r="L138" s="162">
        <v>49286</v>
      </c>
      <c r="M138" s="162">
        <v>148070</v>
      </c>
      <c r="N138" s="162">
        <v>165396</v>
      </c>
      <c r="O138" s="162">
        <v>169092</v>
      </c>
      <c r="P138" s="162">
        <v>161611</v>
      </c>
      <c r="Q138" s="163">
        <f>IFERROR(P138/O138-1,"-")</f>
        <v>-4.4242187684810586E-2</v>
      </c>
      <c r="R138" s="163">
        <f t="shared" si="102"/>
        <v>4.6997196935968058E-2</v>
      </c>
      <c r="S138" s="162">
        <v>52769</v>
      </c>
      <c r="T138" s="162">
        <v>189969</v>
      </c>
      <c r="U138" s="162">
        <v>206405</v>
      </c>
      <c r="V138" s="162">
        <v>214986</v>
      </c>
      <c r="W138" s="162">
        <v>209032</v>
      </c>
      <c r="X138" s="163">
        <f>IFERROR(W138/V138-1,"-")</f>
        <v>-2.7694826639874215E-2</v>
      </c>
      <c r="Y138" s="163">
        <f>W138/W$8</f>
        <v>4.9783166767845187E-2</v>
      </c>
    </row>
    <row r="139" spans="1:25" s="58" customFormat="1" x14ac:dyDescent="0.25">
      <c r="B139" s="165" t="s">
        <v>113</v>
      </c>
      <c r="C139" s="166">
        <v>3361</v>
      </c>
      <c r="D139" s="166">
        <v>8566</v>
      </c>
      <c r="E139" s="166">
        <v>22074</v>
      </c>
      <c r="F139" s="166">
        <v>20929</v>
      </c>
      <c r="G139" s="166">
        <v>26456</v>
      </c>
      <c r="H139" s="166">
        <v>26749</v>
      </c>
      <c r="I139" s="167">
        <f t="shared" ref="I139:I146" si="103">IFERROR(H139/G139-1,"-")</f>
        <v>1.1074992440278209E-2</v>
      </c>
      <c r="J139" s="167">
        <f t="shared" si="100"/>
        <v>3.5190866609131288E-2</v>
      </c>
      <c r="K139" s="166">
        <v>12472</v>
      </c>
      <c r="L139" s="166">
        <v>13304</v>
      </c>
      <c r="M139" s="166">
        <v>60071</v>
      </c>
      <c r="N139" s="166">
        <v>68833</v>
      </c>
      <c r="O139" s="166">
        <v>71052</v>
      </c>
      <c r="P139" s="166">
        <v>68646</v>
      </c>
      <c r="Q139" s="167">
        <f t="shared" ref="Q139:Q146" si="104">IFERROR(P139/O139-1,"-")</f>
        <v>-3.3862523222428664E-2</v>
      </c>
      <c r="R139" s="167">
        <f t="shared" si="102"/>
        <v>1.9962561835929878E-2</v>
      </c>
      <c r="S139" s="166">
        <v>18492</v>
      </c>
      <c r="T139" s="166">
        <v>82145</v>
      </c>
      <c r="U139" s="166">
        <v>89762</v>
      </c>
      <c r="V139" s="166">
        <v>97508</v>
      </c>
      <c r="W139" s="166">
        <v>95395</v>
      </c>
      <c r="X139" s="167">
        <f t="shared" ref="X139:X146" si="105">IFERROR(W139/V139-1,"-")</f>
        <v>-2.1670016819132831E-2</v>
      </c>
      <c r="Y139" s="167">
        <f t="shared" ref="Y139:Y146" si="106">W139/W$8</f>
        <v>2.2719321414035133E-2</v>
      </c>
    </row>
    <row r="140" spans="1:25" s="58" customFormat="1" x14ac:dyDescent="0.25">
      <c r="B140" s="165" t="s">
        <v>116</v>
      </c>
      <c r="C140" s="166">
        <v>1257</v>
      </c>
      <c r="D140" s="166">
        <v>1249</v>
      </c>
      <c r="E140" s="166">
        <v>1553</v>
      </c>
      <c r="F140" s="166">
        <v>1880</v>
      </c>
      <c r="G140" s="166">
        <v>1664</v>
      </c>
      <c r="H140" s="166">
        <v>1895</v>
      </c>
      <c r="I140" s="167">
        <f t="shared" si="103"/>
        <v>0.13882211538461542</v>
      </c>
      <c r="J140" s="167">
        <f t="shared" si="100"/>
        <v>2.4930536552508053E-3</v>
      </c>
      <c r="K140" s="166">
        <v>2280</v>
      </c>
      <c r="L140" s="166">
        <v>5222</v>
      </c>
      <c r="M140" s="166">
        <v>11965</v>
      </c>
      <c r="N140" s="166">
        <v>16264</v>
      </c>
      <c r="O140" s="166">
        <v>16937</v>
      </c>
      <c r="P140" s="166">
        <v>16807</v>
      </c>
      <c r="Q140" s="167">
        <f t="shared" si="104"/>
        <v>-7.6755033358918423E-3</v>
      </c>
      <c r="R140" s="167">
        <f t="shared" si="102"/>
        <v>4.8875502837233556E-3</v>
      </c>
      <c r="S140" s="166">
        <v>4762</v>
      </c>
      <c r="T140" s="166">
        <v>13518</v>
      </c>
      <c r="U140" s="166">
        <v>18144</v>
      </c>
      <c r="V140" s="166">
        <v>18601</v>
      </c>
      <c r="W140" s="166">
        <v>18702</v>
      </c>
      <c r="X140" s="167">
        <f t="shared" si="105"/>
        <v>5.4298156013117271E-3</v>
      </c>
      <c r="Y140" s="167">
        <f t="shared" si="106"/>
        <v>4.4540777722656853E-3</v>
      </c>
    </row>
    <row r="141" spans="1:25" x14ac:dyDescent="0.25">
      <c r="A141" s="58"/>
      <c r="B141" s="165" t="s">
        <v>119</v>
      </c>
      <c r="C141" s="166">
        <v>147</v>
      </c>
      <c r="D141" s="166">
        <v>1545</v>
      </c>
      <c r="E141" s="166">
        <v>5813</v>
      </c>
      <c r="F141" s="166">
        <v>5043</v>
      </c>
      <c r="G141" s="166">
        <v>5027</v>
      </c>
      <c r="H141" s="166">
        <v>5350</v>
      </c>
      <c r="I141" s="167">
        <f t="shared" si="103"/>
        <v>6.4253033618460353E-2</v>
      </c>
      <c r="J141" s="167">
        <f t="shared" si="100"/>
        <v>7.0384364409455452E-3</v>
      </c>
      <c r="K141" s="166">
        <v>3786</v>
      </c>
      <c r="L141" s="166">
        <v>7824</v>
      </c>
      <c r="M141" s="166">
        <v>17158</v>
      </c>
      <c r="N141" s="166">
        <v>16033</v>
      </c>
      <c r="O141" s="166">
        <v>15511</v>
      </c>
      <c r="P141" s="166">
        <v>14187</v>
      </c>
      <c r="Q141" s="167">
        <f t="shared" si="104"/>
        <v>-8.5358777641673655E-2</v>
      </c>
      <c r="R141" s="167">
        <f t="shared" si="102"/>
        <v>4.1256426414698188E-3</v>
      </c>
      <c r="S141" s="166">
        <v>5672</v>
      </c>
      <c r="T141" s="166">
        <v>22971</v>
      </c>
      <c r="U141" s="166">
        <v>21076</v>
      </c>
      <c r="V141" s="166">
        <v>20538</v>
      </c>
      <c r="W141" s="166">
        <v>19537</v>
      </c>
      <c r="X141" s="167">
        <f t="shared" si="105"/>
        <v>-4.8738922972051846E-2</v>
      </c>
      <c r="Y141" s="167">
        <f t="shared" si="106"/>
        <v>4.6529417942869581E-3</v>
      </c>
    </row>
    <row r="142" spans="1:25" x14ac:dyDescent="0.25">
      <c r="A142" s="58"/>
      <c r="B142" s="165" t="s">
        <v>126</v>
      </c>
      <c r="C142" s="166">
        <v>113</v>
      </c>
      <c r="D142" s="166">
        <v>2523</v>
      </c>
      <c r="E142" s="166">
        <v>4370</v>
      </c>
      <c r="F142" s="166">
        <v>3569</v>
      </c>
      <c r="G142" s="166">
        <v>2063</v>
      </c>
      <c r="H142" s="166">
        <v>1175</v>
      </c>
      <c r="I142" s="167">
        <f t="shared" si="103"/>
        <v>-0.43044110518662138</v>
      </c>
      <c r="J142" s="167">
        <f t="shared" si="100"/>
        <v>1.5458248258151429E-3</v>
      </c>
      <c r="K142" s="166">
        <v>447</v>
      </c>
      <c r="L142" s="166">
        <v>1121</v>
      </c>
      <c r="M142" s="166">
        <v>3896</v>
      </c>
      <c r="N142" s="166">
        <v>3830</v>
      </c>
      <c r="O142" s="166">
        <v>3069</v>
      </c>
      <c r="P142" s="166">
        <v>3174</v>
      </c>
      <c r="Q142" s="167">
        <f t="shared" si="104"/>
        <v>3.4213098729227731E-2</v>
      </c>
      <c r="R142" s="167">
        <f t="shared" si="102"/>
        <v>9.2301330401249062E-4</v>
      </c>
      <c r="S142" s="166">
        <v>723</v>
      </c>
      <c r="T142" s="166">
        <v>8266</v>
      </c>
      <c r="U142" s="166">
        <v>7399</v>
      </c>
      <c r="V142" s="166">
        <v>5132</v>
      </c>
      <c r="W142" s="166">
        <v>4349</v>
      </c>
      <c r="X142" s="167">
        <f t="shared" si="105"/>
        <v>-0.15257209664848015</v>
      </c>
      <c r="Y142" s="167">
        <f t="shared" si="106"/>
        <v>1.0357600380485224E-3</v>
      </c>
    </row>
    <row r="143" spans="1:25" x14ac:dyDescent="0.25">
      <c r="A143" s="58"/>
      <c r="B143" s="165" t="s">
        <v>122</v>
      </c>
      <c r="C143" s="166">
        <v>428</v>
      </c>
      <c r="D143" s="166">
        <v>853</v>
      </c>
      <c r="E143" s="166">
        <v>435</v>
      </c>
      <c r="F143" s="166">
        <v>1205</v>
      </c>
      <c r="G143" s="166">
        <v>791</v>
      </c>
      <c r="H143" s="166">
        <v>0</v>
      </c>
      <c r="I143" s="167">
        <f t="shared" si="103"/>
        <v>-1</v>
      </c>
      <c r="J143" s="167">
        <f t="shared" si="100"/>
        <v>0</v>
      </c>
      <c r="K143" s="166">
        <v>773</v>
      </c>
      <c r="L143" s="166">
        <v>1563</v>
      </c>
      <c r="M143" s="166">
        <v>3253</v>
      </c>
      <c r="N143" s="166">
        <v>3513</v>
      </c>
      <c r="O143" s="166">
        <v>3959</v>
      </c>
      <c r="P143" s="166">
        <v>3731</v>
      </c>
      <c r="Q143" s="167">
        <f t="shared" si="104"/>
        <v>-5.7590300580954823E-2</v>
      </c>
      <c r="R143" s="167">
        <f t="shared" si="102"/>
        <v>1.0849913791022693E-3</v>
      </c>
      <c r="S143" s="166">
        <v>1607</v>
      </c>
      <c r="T143" s="166">
        <v>3688</v>
      </c>
      <c r="U143" s="166">
        <v>4718</v>
      </c>
      <c r="V143" s="166">
        <v>4750</v>
      </c>
      <c r="W143" s="166">
        <v>3731</v>
      </c>
      <c r="X143" s="167">
        <f t="shared" si="105"/>
        <v>-0.21452631578947368</v>
      </c>
      <c r="Y143" s="167">
        <f t="shared" si="106"/>
        <v>8.885768457022389E-4</v>
      </c>
    </row>
    <row r="144" spans="1:25" x14ac:dyDescent="0.25">
      <c r="A144" s="58"/>
      <c r="B144" s="165" t="s">
        <v>131</v>
      </c>
      <c r="C144" s="166">
        <v>142</v>
      </c>
      <c r="D144" s="166">
        <v>93</v>
      </c>
      <c r="E144" s="166">
        <v>79</v>
      </c>
      <c r="F144" s="166">
        <v>139</v>
      </c>
      <c r="G144" s="166">
        <v>6</v>
      </c>
      <c r="H144" s="166">
        <v>0</v>
      </c>
      <c r="I144" s="167">
        <f t="shared" si="103"/>
        <v>-1</v>
      </c>
      <c r="J144" s="167">
        <f t="shared" si="100"/>
        <v>0</v>
      </c>
      <c r="K144" s="166">
        <v>1439</v>
      </c>
      <c r="L144" s="166">
        <v>1085</v>
      </c>
      <c r="M144" s="166">
        <v>2826</v>
      </c>
      <c r="N144" s="166">
        <v>3108</v>
      </c>
      <c r="O144" s="166">
        <v>3024</v>
      </c>
      <c r="P144" s="166">
        <v>2935</v>
      </c>
      <c r="Q144" s="167">
        <f t="shared" si="104"/>
        <v>-2.9431216931216975E-2</v>
      </c>
      <c r="R144" s="167">
        <f t="shared" si="102"/>
        <v>8.5351104199012605E-4</v>
      </c>
      <c r="S144" s="166">
        <v>1592</v>
      </c>
      <c r="T144" s="166">
        <v>2905</v>
      </c>
      <c r="U144" s="166">
        <v>3247</v>
      </c>
      <c r="V144" s="166">
        <v>3030</v>
      </c>
      <c r="W144" s="166">
        <v>2935</v>
      </c>
      <c r="X144" s="167">
        <f t="shared" si="105"/>
        <v>-3.1353135313531344E-2</v>
      </c>
      <c r="Y144" s="167">
        <f t="shared" si="106"/>
        <v>6.990010833921391E-4</v>
      </c>
    </row>
    <row r="145" spans="1:25" x14ac:dyDescent="0.25">
      <c r="A145" s="58"/>
      <c r="B145" s="165" t="s">
        <v>134</v>
      </c>
      <c r="C145" s="166">
        <v>815</v>
      </c>
      <c r="D145" s="166">
        <v>64</v>
      </c>
      <c r="E145" s="166">
        <v>49</v>
      </c>
      <c r="F145" s="166">
        <v>93</v>
      </c>
      <c r="G145" s="166">
        <v>54</v>
      </c>
      <c r="H145" s="166">
        <v>0</v>
      </c>
      <c r="I145" s="167">
        <f t="shared" si="103"/>
        <v>-1</v>
      </c>
      <c r="J145" s="167">
        <f t="shared" si="100"/>
        <v>0</v>
      </c>
      <c r="K145" s="166">
        <v>2465</v>
      </c>
      <c r="L145" s="166">
        <v>689</v>
      </c>
      <c r="M145" s="166">
        <v>1637</v>
      </c>
      <c r="N145" s="166">
        <v>2213</v>
      </c>
      <c r="O145" s="166">
        <v>2093</v>
      </c>
      <c r="P145" s="166">
        <v>1666</v>
      </c>
      <c r="Q145" s="167">
        <f t="shared" si="104"/>
        <v>-0.20401337792642138</v>
      </c>
      <c r="R145" s="167">
        <f t="shared" si="102"/>
        <v>4.8448020305129471E-4</v>
      </c>
      <c r="S145" s="166">
        <v>3374</v>
      </c>
      <c r="T145" s="166">
        <v>1686</v>
      </c>
      <c r="U145" s="166">
        <v>2306</v>
      </c>
      <c r="V145" s="166">
        <v>2147</v>
      </c>
      <c r="W145" s="166">
        <v>1666</v>
      </c>
      <c r="X145" s="167">
        <f t="shared" si="105"/>
        <v>-0.22403353516534696</v>
      </c>
      <c r="Y145" s="167">
        <f t="shared" si="106"/>
        <v>3.9677540202088716E-4</v>
      </c>
    </row>
    <row r="146" spans="1:25" x14ac:dyDescent="0.25">
      <c r="A146" s="58"/>
      <c r="B146" s="170" t="s">
        <v>148</v>
      </c>
      <c r="C146" s="171">
        <f t="shared" ref="C146" si="107">C138-SUM(C139:C145)</f>
        <v>1145</v>
      </c>
      <c r="D146" s="171">
        <f t="shared" ref="D146:H146" si="108">D138-SUM(D139:D145)</f>
        <v>3684</v>
      </c>
      <c r="E146" s="171">
        <f t="shared" si="108"/>
        <v>7526</v>
      </c>
      <c r="F146" s="171">
        <f t="shared" si="108"/>
        <v>8151</v>
      </c>
      <c r="G146" s="171">
        <f t="shared" si="108"/>
        <v>9833</v>
      </c>
      <c r="H146" s="171">
        <f t="shared" si="108"/>
        <v>12252</v>
      </c>
      <c r="I146" s="172">
        <f t="shared" si="103"/>
        <v>0.24600833926573773</v>
      </c>
      <c r="J146" s="172">
        <f t="shared" si="100"/>
        <v>1.6118677247563516E-2</v>
      </c>
      <c r="K146" s="171">
        <f t="shared" ref="K146:P146" si="109">K138-SUM(K139:K145)</f>
        <v>11097</v>
      </c>
      <c r="L146" s="171">
        <f t="shared" si="109"/>
        <v>18478</v>
      </c>
      <c r="M146" s="171">
        <f t="shared" si="109"/>
        <v>47264</v>
      </c>
      <c r="N146" s="171">
        <f t="shared" si="109"/>
        <v>51602</v>
      </c>
      <c r="O146" s="171">
        <f t="shared" si="109"/>
        <v>53447</v>
      </c>
      <c r="P146" s="171">
        <f t="shared" si="109"/>
        <v>50465</v>
      </c>
      <c r="Q146" s="172">
        <f t="shared" si="104"/>
        <v>-5.5793589911501074E-2</v>
      </c>
      <c r="R146" s="172">
        <f t="shared" si="102"/>
        <v>1.4675446246688827E-2</v>
      </c>
      <c r="S146" s="171">
        <f>S138-SUM(S139:S145)</f>
        <v>16547</v>
      </c>
      <c r="T146" s="171">
        <f>T138-SUM(T139:T145)</f>
        <v>54790</v>
      </c>
      <c r="U146" s="171">
        <f>U138-SUM(U139:U145)</f>
        <v>59753</v>
      </c>
      <c r="V146" s="171">
        <f>V138-SUM(V139:V145)</f>
        <v>63280</v>
      </c>
      <c r="W146" s="171">
        <f>W138-SUM(W139:W145)</f>
        <v>62717</v>
      </c>
      <c r="X146" s="172">
        <f t="shared" si="105"/>
        <v>-8.8969658659924233E-3</v>
      </c>
      <c r="Y146" s="172">
        <f t="shared" si="106"/>
        <v>1.4936712418093625E-2</v>
      </c>
    </row>
    <row r="147" spans="1:25" x14ac:dyDescent="0.25">
      <c r="A147" s="58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</row>
    <row r="148" spans="1:25" x14ac:dyDescent="0.25">
      <c r="A148" s="58"/>
      <c r="B148" s="158" t="s">
        <v>71</v>
      </c>
      <c r="C148" s="178">
        <f t="shared" ref="C148:H148" si="110">C149+C152</f>
        <v>10903</v>
      </c>
      <c r="D148" s="178">
        <f t="shared" si="110"/>
        <v>15189</v>
      </c>
      <c r="E148" s="178">
        <f t="shared" si="110"/>
        <v>30370</v>
      </c>
      <c r="F148" s="178">
        <f t="shared" si="110"/>
        <v>30714</v>
      </c>
      <c r="G148" s="178">
        <f t="shared" si="110"/>
        <v>35796</v>
      </c>
      <c r="H148" s="178">
        <f t="shared" si="110"/>
        <v>34542</v>
      </c>
      <c r="I148" s="179">
        <f>IFERROR(H148/G148-1,"-")</f>
        <v>-3.5031847133757954E-2</v>
      </c>
      <c r="J148" s="179">
        <f t="shared" ref="J148:J160" si="111">H148/H$8</f>
        <v>4.5443303092175889E-2</v>
      </c>
      <c r="K148" s="178">
        <f t="shared" ref="K148:P148" si="112">K149+K152</f>
        <v>27129</v>
      </c>
      <c r="L148" s="178">
        <f t="shared" si="112"/>
        <v>55599</v>
      </c>
      <c r="M148" s="178">
        <f t="shared" si="112"/>
        <v>77698</v>
      </c>
      <c r="N148" s="178">
        <f t="shared" si="112"/>
        <v>83136</v>
      </c>
      <c r="O148" s="178">
        <f t="shared" si="112"/>
        <v>81318</v>
      </c>
      <c r="P148" s="178">
        <f t="shared" si="112"/>
        <v>76729</v>
      </c>
      <c r="Q148" s="179">
        <f>IFERROR(P148/O148-1,"-")</f>
        <v>-5.6432770112398223E-2</v>
      </c>
      <c r="R148" s="179">
        <f t="shared" ref="R148:R160" si="113">P148/P$8</f>
        <v>2.2313134153615122E-2</v>
      </c>
      <c r="S148" s="178">
        <f>S149+S152</f>
        <v>38032</v>
      </c>
      <c r="T148" s="178">
        <f>T149+T152</f>
        <v>108068</v>
      </c>
      <c r="U148" s="178">
        <f>U149+U152</f>
        <v>113850</v>
      </c>
      <c r="V148" s="178">
        <f>V149+V152</f>
        <v>117114</v>
      </c>
      <c r="W148" s="178">
        <f>W149+W152</f>
        <v>111271</v>
      </c>
      <c r="X148" s="179">
        <f>IFERROR(W148/V148-1,"-")</f>
        <v>-4.9891558652253365E-2</v>
      </c>
      <c r="Y148" s="179">
        <f>W148/W$8</f>
        <v>2.6500357597998882E-2</v>
      </c>
    </row>
    <row r="149" spans="1:25" x14ac:dyDescent="0.25">
      <c r="A149" s="58"/>
      <c r="B149" s="161" t="s">
        <v>100</v>
      </c>
      <c r="C149" s="162">
        <v>7450</v>
      </c>
      <c r="D149" s="162">
        <v>8139</v>
      </c>
      <c r="E149" s="162">
        <v>18008</v>
      </c>
      <c r="F149" s="162">
        <v>17702</v>
      </c>
      <c r="G149" s="162">
        <v>18511</v>
      </c>
      <c r="H149" s="162">
        <v>17058</v>
      </c>
      <c r="I149" s="163">
        <f>IFERROR(H149/G149-1,"-")</f>
        <v>-7.849386851061535E-2</v>
      </c>
      <c r="J149" s="163">
        <f t="shared" si="111"/>
        <v>2.2441429684046561E-2</v>
      </c>
      <c r="K149" s="162">
        <v>11710</v>
      </c>
      <c r="L149" s="162">
        <v>31999</v>
      </c>
      <c r="M149" s="162">
        <v>38624</v>
      </c>
      <c r="N149" s="162">
        <v>39075</v>
      </c>
      <c r="O149" s="162">
        <v>34406</v>
      </c>
      <c r="P149" s="162">
        <v>30308</v>
      </c>
      <c r="Q149" s="163">
        <f>IFERROR(P149/O149-1,"-")</f>
        <v>-0.11910713247689353</v>
      </c>
      <c r="R149" s="163">
        <f t="shared" si="113"/>
        <v>8.8137010768779347E-3</v>
      </c>
      <c r="S149" s="162">
        <v>19160</v>
      </c>
      <c r="T149" s="162">
        <v>56632</v>
      </c>
      <c r="U149" s="162">
        <v>56777</v>
      </c>
      <c r="V149" s="162">
        <v>52917</v>
      </c>
      <c r="W149" s="162">
        <v>47366</v>
      </c>
      <c r="X149" s="163">
        <f>IFERROR(W149/V149-1,"-")</f>
        <v>-0.10490012661337567</v>
      </c>
      <c r="Y149" s="163">
        <f>W149/W$8</f>
        <v>1.1280710499472593E-2</v>
      </c>
    </row>
    <row r="150" spans="1:25" x14ac:dyDescent="0.25">
      <c r="A150" s="58"/>
      <c r="B150" s="165" t="s">
        <v>106</v>
      </c>
      <c r="C150" s="166">
        <v>2742</v>
      </c>
      <c r="D150" s="166">
        <v>4159</v>
      </c>
      <c r="E150" s="166">
        <v>6621</v>
      </c>
      <c r="F150" s="166">
        <v>5838</v>
      </c>
      <c r="G150" s="166">
        <v>5597</v>
      </c>
      <c r="H150" s="166">
        <v>5861</v>
      </c>
      <c r="I150" s="167">
        <f>IFERROR(H150/G150-1,"-")</f>
        <v>4.7168125781668735E-2</v>
      </c>
      <c r="J150" s="167">
        <f t="shared" si="111"/>
        <v>7.710705790725577E-3</v>
      </c>
      <c r="K150" s="166">
        <v>9259</v>
      </c>
      <c r="L150" s="166">
        <v>28141</v>
      </c>
      <c r="M150" s="166">
        <v>34603</v>
      </c>
      <c r="N150" s="166">
        <v>36787</v>
      </c>
      <c r="O150" s="166">
        <v>31192</v>
      </c>
      <c r="P150" s="166">
        <v>24350</v>
      </c>
      <c r="Q150" s="167">
        <f>IFERROR(P150/O150-1,"-")</f>
        <v>-0.21935111567068477</v>
      </c>
      <c r="R150" s="167">
        <f t="shared" si="113"/>
        <v>7.0810882018601598E-3</v>
      </c>
      <c r="S150" s="166">
        <v>12001</v>
      </c>
      <c r="T150" s="166">
        <v>41224</v>
      </c>
      <c r="U150" s="166">
        <v>42625</v>
      </c>
      <c r="V150" s="166">
        <v>36789</v>
      </c>
      <c r="W150" s="166">
        <v>30211</v>
      </c>
      <c r="X150" s="167">
        <f>IFERROR(W150/V150-1,"-")</f>
        <v>-0.1788034466824322</v>
      </c>
      <c r="Y150" s="167">
        <f>W150/W$8</f>
        <v>7.195067029083446E-3</v>
      </c>
    </row>
    <row r="151" spans="1:25" x14ac:dyDescent="0.25">
      <c r="A151" s="58"/>
      <c r="B151" s="165" t="s">
        <v>103</v>
      </c>
      <c r="C151" s="166">
        <v>4708</v>
      </c>
      <c r="D151" s="166">
        <v>3980</v>
      </c>
      <c r="E151" s="166">
        <v>11387</v>
      </c>
      <c r="F151" s="166">
        <v>11864</v>
      </c>
      <c r="G151" s="166">
        <v>12914</v>
      </c>
      <c r="H151" s="166">
        <v>11197</v>
      </c>
      <c r="I151" s="167">
        <f>IFERROR(H151/G151-1,"-")</f>
        <v>-0.13295648133808269</v>
      </c>
      <c r="J151" s="167">
        <f t="shared" si="111"/>
        <v>1.4730723893320984E-2</v>
      </c>
      <c r="K151" s="166">
        <v>2451</v>
      </c>
      <c r="L151" s="166">
        <v>3858</v>
      </c>
      <c r="M151" s="166">
        <v>4021</v>
      </c>
      <c r="N151" s="166">
        <v>2288</v>
      </c>
      <c r="O151" s="166">
        <v>3214</v>
      </c>
      <c r="P151" s="166">
        <v>5958</v>
      </c>
      <c r="Q151" s="167">
        <f>IFERROR(P151/O151-1,"-")</f>
        <v>0.85376477909147486</v>
      </c>
      <c r="R151" s="167">
        <f t="shared" si="113"/>
        <v>1.7326128750177754E-3</v>
      </c>
      <c r="S151" s="166">
        <v>7159</v>
      </c>
      <c r="T151" s="166">
        <v>15408</v>
      </c>
      <c r="U151" s="166">
        <v>14152</v>
      </c>
      <c r="V151" s="166">
        <v>16128</v>
      </c>
      <c r="W151" s="166">
        <v>17155</v>
      </c>
      <c r="X151" s="167">
        <f>IFERROR(W151/V151-1,"-")</f>
        <v>6.3678075396825351E-2</v>
      </c>
      <c r="Y151" s="167">
        <f>W151/W$8</f>
        <v>4.0856434703891468E-3</v>
      </c>
    </row>
    <row r="152" spans="1:25" x14ac:dyDescent="0.25">
      <c r="A152" s="58"/>
      <c r="B152" s="161" t="s">
        <v>110</v>
      </c>
      <c r="C152" s="162">
        <v>3453</v>
      </c>
      <c r="D152" s="162">
        <v>7050</v>
      </c>
      <c r="E152" s="162">
        <v>12362</v>
      </c>
      <c r="F152" s="162">
        <v>13012</v>
      </c>
      <c r="G152" s="162">
        <v>17285</v>
      </c>
      <c r="H152" s="162">
        <v>17484</v>
      </c>
      <c r="I152" s="163">
        <f>IFERROR(H152/G152-1,"-")</f>
        <v>1.1512872432745125E-2</v>
      </c>
      <c r="J152" s="163">
        <f t="shared" si="111"/>
        <v>2.3001873408129328E-2</v>
      </c>
      <c r="K152" s="162">
        <v>15419</v>
      </c>
      <c r="L152" s="162">
        <v>23600</v>
      </c>
      <c r="M152" s="162">
        <v>39074</v>
      </c>
      <c r="N152" s="162">
        <v>44061</v>
      </c>
      <c r="O152" s="162">
        <v>46912</v>
      </c>
      <c r="P152" s="162">
        <v>46421</v>
      </c>
      <c r="Q152" s="163">
        <f>IFERROR(P152/O152-1,"-")</f>
        <v>-1.0466405184174632E-2</v>
      </c>
      <c r="R152" s="163">
        <f t="shared" si="113"/>
        <v>1.3499433076737186E-2</v>
      </c>
      <c r="S152" s="162">
        <v>18872</v>
      </c>
      <c r="T152" s="162">
        <v>51436</v>
      </c>
      <c r="U152" s="162">
        <v>57073</v>
      </c>
      <c r="V152" s="162">
        <v>64197</v>
      </c>
      <c r="W152" s="162">
        <v>63905</v>
      </c>
      <c r="X152" s="163">
        <f>IFERROR(W152/V152-1,"-")</f>
        <v>-4.5484991510507111E-3</v>
      </c>
      <c r="Y152" s="163">
        <f>W152/W$8</f>
        <v>1.5219647098526287E-2</v>
      </c>
    </row>
    <row r="153" spans="1:25" s="58" customFormat="1" x14ac:dyDescent="0.25">
      <c r="B153" s="165" t="s">
        <v>113</v>
      </c>
      <c r="C153" s="166">
        <v>412</v>
      </c>
      <c r="D153" s="166">
        <v>401</v>
      </c>
      <c r="E153" s="166">
        <v>974</v>
      </c>
      <c r="F153" s="166">
        <v>983</v>
      </c>
      <c r="G153" s="166">
        <v>1429</v>
      </c>
      <c r="H153" s="166">
        <v>1421</v>
      </c>
      <c r="I153" s="167">
        <f t="shared" ref="I153:I160" si="114">IFERROR(H153/G153-1,"-")</f>
        <v>-5.598320503848897E-3</v>
      </c>
      <c r="J153" s="167">
        <f t="shared" si="111"/>
        <v>1.8694613425389943E-3</v>
      </c>
      <c r="K153" s="166">
        <v>5103</v>
      </c>
      <c r="L153" s="166">
        <v>5197</v>
      </c>
      <c r="M153" s="166">
        <v>18197</v>
      </c>
      <c r="N153" s="166">
        <v>17767</v>
      </c>
      <c r="O153" s="166">
        <v>18362</v>
      </c>
      <c r="P153" s="166">
        <v>16067</v>
      </c>
      <c r="Q153" s="167">
        <f t="shared" ref="Q153:Q160" si="115">IFERROR(P153/O153-1,"-")</f>
        <v>-0.12498638492538938</v>
      </c>
      <c r="R153" s="167">
        <f t="shared" si="113"/>
        <v>4.6723549954532729E-3</v>
      </c>
      <c r="S153" s="166">
        <v>5515</v>
      </c>
      <c r="T153" s="166">
        <v>19171</v>
      </c>
      <c r="U153" s="166">
        <v>18750</v>
      </c>
      <c r="V153" s="166">
        <v>19791</v>
      </c>
      <c r="W153" s="166">
        <v>17488</v>
      </c>
      <c r="X153" s="167">
        <f t="shared" ref="X153:X160" si="116">IFERROR(W153/V153-1,"-")</f>
        <v>-0.11636602496084081</v>
      </c>
      <c r="Y153" s="167">
        <f t="shared" ref="Y153:Y160" si="117">W153/W$8</f>
        <v>4.1649509186922418E-3</v>
      </c>
    </row>
    <row r="154" spans="1:25" s="58" customFormat="1" x14ac:dyDescent="0.25">
      <c r="B154" s="165" t="s">
        <v>116</v>
      </c>
      <c r="C154" s="166">
        <v>629</v>
      </c>
      <c r="D154" s="166">
        <v>1400</v>
      </c>
      <c r="E154" s="166">
        <v>2438</v>
      </c>
      <c r="F154" s="166">
        <v>2568</v>
      </c>
      <c r="G154" s="166">
        <v>2962</v>
      </c>
      <c r="H154" s="166">
        <v>3100</v>
      </c>
      <c r="I154" s="167">
        <f t="shared" si="114"/>
        <v>4.6590141796083673E-2</v>
      </c>
      <c r="J154" s="167">
        <f t="shared" si="111"/>
        <v>4.0783463489591004E-3</v>
      </c>
      <c r="K154" s="166">
        <v>3882</v>
      </c>
      <c r="L154" s="166">
        <v>6636</v>
      </c>
      <c r="M154" s="166">
        <v>7498</v>
      </c>
      <c r="N154" s="166">
        <v>7764</v>
      </c>
      <c r="O154" s="166">
        <v>7140</v>
      </c>
      <c r="P154" s="166">
        <v>7425</v>
      </c>
      <c r="Q154" s="167">
        <f t="shared" si="115"/>
        <v>3.9915966386554702E-2</v>
      </c>
      <c r="R154" s="167">
        <f t="shared" si="113"/>
        <v>2.1592229937910344E-3</v>
      </c>
      <c r="S154" s="166">
        <v>4511</v>
      </c>
      <c r="T154" s="166">
        <v>9936</v>
      </c>
      <c r="U154" s="166">
        <v>10332</v>
      </c>
      <c r="V154" s="166">
        <v>10102</v>
      </c>
      <c r="W154" s="166">
        <v>10525</v>
      </c>
      <c r="X154" s="167">
        <f t="shared" si="116"/>
        <v>4.1872896456147224E-2</v>
      </c>
      <c r="Y154" s="167">
        <f t="shared" si="117"/>
        <v>2.5066393194896983E-3</v>
      </c>
    </row>
    <row r="155" spans="1:25" x14ac:dyDescent="0.25">
      <c r="A155" s="58"/>
      <c r="B155" s="165" t="s">
        <v>119</v>
      </c>
      <c r="C155" s="166">
        <v>522</v>
      </c>
      <c r="D155" s="166">
        <v>1370</v>
      </c>
      <c r="E155" s="166">
        <v>2211</v>
      </c>
      <c r="F155" s="166">
        <v>2245</v>
      </c>
      <c r="G155" s="166">
        <v>2884</v>
      </c>
      <c r="H155" s="166">
        <v>3011</v>
      </c>
      <c r="I155" s="167">
        <f t="shared" si="114"/>
        <v>4.403606102635238E-2</v>
      </c>
      <c r="J155" s="167">
        <f t="shared" si="111"/>
        <v>3.9612583408760813E-3</v>
      </c>
      <c r="K155" s="166">
        <v>1705</v>
      </c>
      <c r="L155" s="166">
        <v>3754</v>
      </c>
      <c r="M155" s="166">
        <v>4261</v>
      </c>
      <c r="N155" s="166">
        <v>7004</v>
      </c>
      <c r="O155" s="166">
        <v>8840</v>
      </c>
      <c r="P155" s="166">
        <v>12169</v>
      </c>
      <c r="Q155" s="167">
        <f t="shared" si="115"/>
        <v>0.37658371040723981</v>
      </c>
      <c r="R155" s="167">
        <f t="shared" si="113"/>
        <v>3.5387992742684305E-3</v>
      </c>
      <c r="S155" s="166">
        <v>2227</v>
      </c>
      <c r="T155" s="166">
        <v>6472</v>
      </c>
      <c r="U155" s="166">
        <v>9249</v>
      </c>
      <c r="V155" s="166">
        <v>11724</v>
      </c>
      <c r="W155" s="166">
        <v>15180</v>
      </c>
      <c r="X155" s="167">
        <f t="shared" si="116"/>
        <v>0.29477993858751272</v>
      </c>
      <c r="Y155" s="167">
        <f t="shared" si="117"/>
        <v>3.6152764721951182E-3</v>
      </c>
    </row>
    <row r="156" spans="1:25" x14ac:dyDescent="0.25">
      <c r="A156" s="58"/>
      <c r="B156" s="165" t="s">
        <v>126</v>
      </c>
      <c r="C156" s="166">
        <v>243</v>
      </c>
      <c r="D156" s="166">
        <v>317</v>
      </c>
      <c r="E156" s="166">
        <v>761</v>
      </c>
      <c r="F156" s="166">
        <v>634</v>
      </c>
      <c r="G156" s="166">
        <v>898</v>
      </c>
      <c r="H156" s="166">
        <v>988</v>
      </c>
      <c r="I156" s="167">
        <f t="shared" si="114"/>
        <v>0.10022271714922049</v>
      </c>
      <c r="J156" s="167">
        <f t="shared" si="111"/>
        <v>1.2998084492811587E-3</v>
      </c>
      <c r="K156" s="166">
        <v>327</v>
      </c>
      <c r="L156" s="166">
        <v>589</v>
      </c>
      <c r="M156" s="166">
        <v>856</v>
      </c>
      <c r="N156" s="166">
        <v>868</v>
      </c>
      <c r="O156" s="166">
        <v>969</v>
      </c>
      <c r="P156" s="166">
        <v>936</v>
      </c>
      <c r="Q156" s="167">
        <f t="shared" si="115"/>
        <v>-3.4055727554179516E-2</v>
      </c>
      <c r="R156" s="167">
        <f t="shared" si="113"/>
        <v>2.7219295921729401E-4</v>
      </c>
      <c r="S156" s="166">
        <v>570</v>
      </c>
      <c r="T156" s="166">
        <v>1617</v>
      </c>
      <c r="U156" s="166">
        <v>1502</v>
      </c>
      <c r="V156" s="166">
        <v>1867</v>
      </c>
      <c r="W156" s="166">
        <v>1924</v>
      </c>
      <c r="X156" s="167">
        <f t="shared" si="116"/>
        <v>3.0530262453133394E-2</v>
      </c>
      <c r="Y156" s="167">
        <f t="shared" si="117"/>
        <v>4.5822081241787929E-4</v>
      </c>
    </row>
    <row r="157" spans="1:25" x14ac:dyDescent="0.25">
      <c r="A157" s="58"/>
      <c r="B157" s="165" t="s">
        <v>122</v>
      </c>
      <c r="C157" s="166">
        <v>218</v>
      </c>
      <c r="D157" s="166">
        <v>351</v>
      </c>
      <c r="E157" s="166">
        <v>597</v>
      </c>
      <c r="F157" s="166">
        <v>569</v>
      </c>
      <c r="G157" s="166">
        <v>772</v>
      </c>
      <c r="H157" s="166">
        <v>755</v>
      </c>
      <c r="I157" s="167">
        <f t="shared" si="114"/>
        <v>-2.2020725388601003E-2</v>
      </c>
      <c r="J157" s="167">
        <f t="shared" si="111"/>
        <v>9.932746753110067E-4</v>
      </c>
      <c r="K157" s="166">
        <v>974</v>
      </c>
      <c r="L157" s="166">
        <v>1393</v>
      </c>
      <c r="M157" s="166">
        <v>2346</v>
      </c>
      <c r="N157" s="166">
        <v>2305</v>
      </c>
      <c r="O157" s="166">
        <v>2540</v>
      </c>
      <c r="P157" s="166">
        <v>1746</v>
      </c>
      <c r="Q157" s="167">
        <f t="shared" si="115"/>
        <v>-0.31259842519685044</v>
      </c>
      <c r="R157" s="167">
        <f t="shared" si="113"/>
        <v>5.0774455853995232E-4</v>
      </c>
      <c r="S157" s="166">
        <v>1192</v>
      </c>
      <c r="T157" s="166">
        <v>2943</v>
      </c>
      <c r="U157" s="166">
        <v>2874</v>
      </c>
      <c r="V157" s="166">
        <v>3312</v>
      </c>
      <c r="W157" s="166">
        <v>2501</v>
      </c>
      <c r="X157" s="167">
        <f t="shared" si="116"/>
        <v>-0.24486714975845414</v>
      </c>
      <c r="Y157" s="167">
        <f t="shared" si="117"/>
        <v>5.9563942404216013E-4</v>
      </c>
    </row>
    <row r="158" spans="1:25" x14ac:dyDescent="0.25">
      <c r="A158" s="58"/>
      <c r="B158" s="165" t="s">
        <v>131</v>
      </c>
      <c r="C158" s="166">
        <v>56</v>
      </c>
      <c r="D158" s="166">
        <v>71</v>
      </c>
      <c r="E158" s="166">
        <v>195</v>
      </c>
      <c r="F158" s="166">
        <v>156</v>
      </c>
      <c r="G158" s="166">
        <v>110</v>
      </c>
      <c r="H158" s="166">
        <v>79</v>
      </c>
      <c r="I158" s="167">
        <f t="shared" si="114"/>
        <v>-0.28181818181818186</v>
      </c>
      <c r="J158" s="167">
        <f t="shared" si="111"/>
        <v>1.0393205211863515E-4</v>
      </c>
      <c r="K158" s="166">
        <v>174</v>
      </c>
      <c r="L158" s="166">
        <v>211</v>
      </c>
      <c r="M158" s="166">
        <v>277</v>
      </c>
      <c r="N158" s="166">
        <v>276</v>
      </c>
      <c r="O158" s="166">
        <v>264</v>
      </c>
      <c r="P158" s="166">
        <v>217</v>
      </c>
      <c r="Q158" s="167">
        <f t="shared" si="115"/>
        <v>-0.17803030303030298</v>
      </c>
      <c r="R158" s="167">
        <f t="shared" si="113"/>
        <v>6.3104564262983761E-5</v>
      </c>
      <c r="S158" s="166">
        <v>230</v>
      </c>
      <c r="T158" s="166">
        <v>472</v>
      </c>
      <c r="U158" s="166">
        <v>432</v>
      </c>
      <c r="V158" s="166">
        <v>374</v>
      </c>
      <c r="W158" s="166">
        <v>296</v>
      </c>
      <c r="X158" s="167">
        <f t="shared" si="116"/>
        <v>-0.20855614973262027</v>
      </c>
      <c r="Y158" s="167">
        <f t="shared" si="117"/>
        <v>7.0495509602750659E-5</v>
      </c>
    </row>
    <row r="159" spans="1:25" x14ac:dyDescent="0.25">
      <c r="A159" s="58"/>
      <c r="B159" s="165" t="s">
        <v>134</v>
      </c>
      <c r="C159" s="166">
        <v>67</v>
      </c>
      <c r="D159" s="166">
        <v>84</v>
      </c>
      <c r="E159" s="166">
        <v>99</v>
      </c>
      <c r="F159" s="166">
        <v>155</v>
      </c>
      <c r="G159" s="166">
        <v>126</v>
      </c>
      <c r="H159" s="166">
        <v>116</v>
      </c>
      <c r="I159" s="167">
        <f t="shared" si="114"/>
        <v>-7.9365079365079416E-2</v>
      </c>
      <c r="J159" s="167">
        <f t="shared" si="111"/>
        <v>1.5260908918685669E-4</v>
      </c>
      <c r="K159" s="166">
        <v>228</v>
      </c>
      <c r="L159" s="166">
        <v>362</v>
      </c>
      <c r="M159" s="166">
        <v>555</v>
      </c>
      <c r="N159" s="166">
        <v>677</v>
      </c>
      <c r="O159" s="166">
        <v>456</v>
      </c>
      <c r="P159" s="166">
        <v>320</v>
      </c>
      <c r="Q159" s="167">
        <f t="shared" si="115"/>
        <v>-0.29824561403508776</v>
      </c>
      <c r="R159" s="167">
        <f t="shared" si="113"/>
        <v>9.305742195463043E-5</v>
      </c>
      <c r="S159" s="166">
        <v>295</v>
      </c>
      <c r="T159" s="166">
        <v>654</v>
      </c>
      <c r="U159" s="166">
        <v>832</v>
      </c>
      <c r="V159" s="166">
        <v>582</v>
      </c>
      <c r="W159" s="166">
        <v>436</v>
      </c>
      <c r="X159" s="167">
        <f t="shared" si="116"/>
        <v>-0.25085910652920962</v>
      </c>
      <c r="Y159" s="167">
        <f t="shared" si="117"/>
        <v>1.038379803608084E-4</v>
      </c>
    </row>
    <row r="160" spans="1:25" x14ac:dyDescent="0.25">
      <c r="A160" s="58"/>
      <c r="B160" s="170" t="s">
        <v>148</v>
      </c>
      <c r="C160" s="171">
        <f t="shared" ref="C160" si="118">C152-SUM(C153:C159)</f>
        <v>1306</v>
      </c>
      <c r="D160" s="171">
        <f t="shared" ref="D160:H160" si="119">D152-SUM(D153:D159)</f>
        <v>3056</v>
      </c>
      <c r="E160" s="171">
        <f t="shared" si="119"/>
        <v>5087</v>
      </c>
      <c r="F160" s="171">
        <f t="shared" si="119"/>
        <v>5702</v>
      </c>
      <c r="G160" s="171">
        <f t="shared" si="119"/>
        <v>8104</v>
      </c>
      <c r="H160" s="171">
        <f t="shared" si="119"/>
        <v>8014</v>
      </c>
      <c r="I160" s="172">
        <f t="shared" si="114"/>
        <v>-1.1105626850937855E-2</v>
      </c>
      <c r="J160" s="172">
        <f t="shared" si="111"/>
        <v>1.0543183109857494E-2</v>
      </c>
      <c r="K160" s="171">
        <f t="shared" ref="K160:P160" si="120">K152-SUM(K153:K159)</f>
        <v>3026</v>
      </c>
      <c r="L160" s="171">
        <f t="shared" si="120"/>
        <v>5458</v>
      </c>
      <c r="M160" s="171">
        <f t="shared" si="120"/>
        <v>5084</v>
      </c>
      <c r="N160" s="171">
        <f t="shared" si="120"/>
        <v>7400</v>
      </c>
      <c r="O160" s="171">
        <f t="shared" si="120"/>
        <v>8341</v>
      </c>
      <c r="P160" s="171">
        <f t="shared" si="120"/>
        <v>7541</v>
      </c>
      <c r="Q160" s="172">
        <f t="shared" si="115"/>
        <v>-9.5911761179714672E-2</v>
      </c>
      <c r="R160" s="172">
        <f t="shared" si="113"/>
        <v>2.192956309249588E-3</v>
      </c>
      <c r="S160" s="171">
        <f>S152-SUM(S153:S159)</f>
        <v>4332</v>
      </c>
      <c r="T160" s="171">
        <f>T152-SUM(T153:T159)</f>
        <v>10171</v>
      </c>
      <c r="U160" s="171">
        <f>U152-SUM(U153:U159)</f>
        <v>13102</v>
      </c>
      <c r="V160" s="171">
        <f>V152-SUM(V153:V159)</f>
        <v>16445</v>
      </c>
      <c r="W160" s="171">
        <f>W152-SUM(W153:W159)</f>
        <v>15555</v>
      </c>
      <c r="X160" s="172">
        <f t="shared" si="116"/>
        <v>-5.4119793250228088E-2</v>
      </c>
      <c r="Y160" s="172">
        <f t="shared" si="117"/>
        <v>3.7045866617256302E-3</v>
      </c>
    </row>
    <row r="161" spans="1:25" ht="6" customHeight="1" x14ac:dyDescent="0.25">
      <c r="A161" s="58"/>
      <c r="C161" s="81"/>
      <c r="D161" s="81"/>
      <c r="E161" s="81"/>
      <c r="F161" s="81"/>
      <c r="G161" s="81"/>
      <c r="H161" s="81"/>
      <c r="I161" s="81"/>
      <c r="K161" s="81"/>
      <c r="L161" s="81"/>
      <c r="M161" s="81"/>
      <c r="N161" s="81"/>
      <c r="O161" s="81"/>
      <c r="P161" s="81"/>
      <c r="Q161" s="81"/>
      <c r="S161" s="81"/>
      <c r="T161" s="81"/>
      <c r="U161" s="81"/>
      <c r="V161" s="81"/>
      <c r="W161" s="81"/>
      <c r="X161" s="81"/>
    </row>
    <row r="162" spans="1:25" ht="6" customHeight="1" x14ac:dyDescent="0.25">
      <c r="A162" s="58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</row>
    <row r="163" spans="1:25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</row>
  </sheetData>
  <mergeCells count="3">
    <mergeCell ref="C5:J5"/>
    <mergeCell ref="K5:R5"/>
    <mergeCell ref="S5:Y5"/>
  </mergeCells>
  <pageMargins left="0.25" right="0.25" top="0.75" bottom="0.75" header="0.3" footer="0.3"/>
  <pageSetup paperSize="9" scale="2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BB653-CA81-43B4-83F4-532AFFE9DEF0}">
  <sheetPr>
    <tabColor theme="7" tint="0.79998168889431442"/>
    <pageSetUpPr fitToPage="1"/>
  </sheetPr>
  <dimension ref="A1:Z164"/>
  <sheetViews>
    <sheetView showGridLines="0" topLeftCell="A6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26" width="10.5703125" customWidth="1"/>
  </cols>
  <sheetData>
    <row r="1" spans="1:26" ht="42.75" customHeight="1" x14ac:dyDescent="0.25"/>
    <row r="4" spans="1:26" ht="42" customHeight="1" thickBot="1" x14ac:dyDescent="0.3">
      <c r="B4" s="64" t="str">
        <f>CONCATENATE("Viajeros entrados en los establecimientos hoteleros de Tenerife según lugar de residencia, categoría y municipio del alojamiento")</f>
        <v>Viajeros entrados en los establecimientos hoteleros de Tenerife según lugar de residencia, categoría y municipio del alojamiento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</row>
    <row r="5" spans="1:26" ht="6" customHeight="1" x14ac:dyDescent="0.25"/>
    <row r="6" spans="1:26" ht="15.75" x14ac:dyDescent="0.25">
      <c r="B6" s="186"/>
      <c r="C6" s="313" t="s">
        <v>65</v>
      </c>
      <c r="D6" s="314"/>
      <c r="E6" s="314"/>
      <c r="F6" s="314"/>
      <c r="G6" s="314"/>
      <c r="H6" s="314"/>
      <c r="I6" s="314"/>
      <c r="J6" s="314"/>
      <c r="K6" s="313" t="s">
        <v>64</v>
      </c>
      <c r="L6" s="314"/>
      <c r="M6" s="314"/>
      <c r="N6" s="314"/>
      <c r="O6" s="314"/>
      <c r="P6" s="314"/>
      <c r="Q6" s="314"/>
      <c r="R6" s="314"/>
      <c r="S6" s="313" t="s">
        <v>140</v>
      </c>
      <c r="T6" s="314"/>
      <c r="U6" s="314"/>
      <c r="V6" s="314"/>
      <c r="W6" s="314"/>
      <c r="X6" s="314"/>
      <c r="Y6" s="314"/>
      <c r="Z6" s="314"/>
    </row>
    <row r="7" spans="1:26" s="148" customFormat="1" ht="72" customHeight="1" x14ac:dyDescent="0.25">
      <c r="B7" s="149"/>
      <c r="C7" s="187">
        <f>D7-1</f>
        <v>2020</v>
      </c>
      <c r="D7" s="187">
        <f>E7-1</f>
        <v>2021</v>
      </c>
      <c r="E7" s="187">
        <f>F7-1</f>
        <v>2022</v>
      </c>
      <c r="F7" s="187">
        <f>G7-1</f>
        <v>2023</v>
      </c>
      <c r="G7" s="187">
        <v>2024</v>
      </c>
      <c r="H7" s="175" t="str">
        <f>CONCATENATE("var. ",RIGHT(G7,2),"/",RIGHT(F7,2))</f>
        <v>var. 24/23</v>
      </c>
      <c r="I7" s="175" t="str">
        <f>CONCATENATE("var. ",RIGHT(G7,2),"/",RIGHT(C7,2))</f>
        <v>var. 24/20</v>
      </c>
      <c r="J7" s="175" t="str">
        <f>CONCATENATE("Cuota s/ total lugares de residencia ",RIGHT(G7,4))</f>
        <v>Cuota s/ total lugares de residencia 2024</v>
      </c>
      <c r="K7" s="187">
        <f>L7-1</f>
        <v>2020</v>
      </c>
      <c r="L7" s="187">
        <f>M7-1</f>
        <v>2021</v>
      </c>
      <c r="M7" s="187">
        <f>N7-1</f>
        <v>2022</v>
      </c>
      <c r="N7" s="187">
        <f>O7-1</f>
        <v>2023</v>
      </c>
      <c r="O7" s="187">
        <v>2024</v>
      </c>
      <c r="P7" s="175" t="str">
        <f>CONCATENATE("var. ",RIGHT(O7,2),"/",RIGHT(N7,2))</f>
        <v>var. 24/23</v>
      </c>
      <c r="Q7" s="175" t="str">
        <f>CONCATENATE("var. ",RIGHT(O7,2),"/",RIGHT(K7,2))</f>
        <v>var. 24/20</v>
      </c>
      <c r="R7" s="175" t="str">
        <f>CONCATENATE("Cuota s/ total lugares de residencia ",RIGHT(O7,4))</f>
        <v>Cuota s/ total lugares de residencia 2024</v>
      </c>
      <c r="S7" s="187">
        <f>T7-1</f>
        <v>2020</v>
      </c>
      <c r="T7" s="187">
        <f>U7-1</f>
        <v>2021</v>
      </c>
      <c r="U7" s="187">
        <f>V7-1</f>
        <v>2022</v>
      </c>
      <c r="V7" s="187">
        <f>W7-1</f>
        <v>2023</v>
      </c>
      <c r="W7" s="187">
        <v>2024</v>
      </c>
      <c r="X7" s="175" t="str">
        <f>CONCATENATE("var. ",RIGHT(W7,2),"/",RIGHT(V7,2))</f>
        <v>var. 24/23</v>
      </c>
      <c r="Y7" s="175" t="str">
        <f>CONCATENATE("var. ",RIGHT(W7,2),"/",RIGHT(S7,2))</f>
        <v>var. 24/20</v>
      </c>
      <c r="Z7" s="175" t="str">
        <f>CONCATENATE("Cuota s/ total lugares de residencia ",RIGHT(U7,4))</f>
        <v>Cuota s/ total lugares de residencia 2022</v>
      </c>
    </row>
    <row r="8" spans="1:26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</row>
    <row r="9" spans="1:26" x14ac:dyDescent="0.25">
      <c r="A9" s="1" t="s">
        <v>0</v>
      </c>
      <c r="B9" s="158" t="s">
        <v>71</v>
      </c>
      <c r="C9" s="178">
        <f>C10+C13</f>
        <v>244233</v>
      </c>
      <c r="D9" s="178">
        <f>D10+D13</f>
        <v>332855</v>
      </c>
      <c r="E9" s="178">
        <f>E10+E13</f>
        <v>672483</v>
      </c>
      <c r="F9" s="178">
        <f>F10+F13</f>
        <v>740673</v>
      </c>
      <c r="G9" s="178">
        <f>G10+G13</f>
        <v>759850</v>
      </c>
      <c r="H9" s="179">
        <f>IFERROR(G9/F9-1,"-")</f>
        <v>2.5891317761009169E-2</v>
      </c>
      <c r="I9" s="179">
        <f>IFERROR(G9/C9-1,"-")</f>
        <v>2.1111684334221827</v>
      </c>
      <c r="J9" s="179">
        <f>G9/G$9</f>
        <v>1</v>
      </c>
      <c r="K9" s="178">
        <f>K10+K13</f>
        <v>956053</v>
      </c>
      <c r="L9" s="178">
        <f>L10+L13</f>
        <v>1525176</v>
      </c>
      <c r="M9" s="178">
        <f>M10+M13</f>
        <v>3104390</v>
      </c>
      <c r="N9" s="178">
        <f>N10+N13</f>
        <v>3348191</v>
      </c>
      <c r="O9" s="178">
        <f>O10+O13</f>
        <v>3522695</v>
      </c>
      <c r="P9" s="179">
        <f>IFERROR(O9/N9-1,"-")</f>
        <v>5.2118890469510237E-2</v>
      </c>
      <c r="Q9" s="179">
        <f>IFERROR(O9/K9-1,"-")</f>
        <v>2.6846231328179506</v>
      </c>
      <c r="R9" s="179">
        <f>O9/O$9</f>
        <v>1</v>
      </c>
      <c r="S9" s="178">
        <f>S10+S13</f>
        <v>1200286</v>
      </c>
      <c r="T9" s="178">
        <f>T10+T13</f>
        <v>1858031</v>
      </c>
      <c r="U9" s="178">
        <f>U10+U13</f>
        <v>3776873</v>
      </c>
      <c r="V9" s="178">
        <f>V10+V13</f>
        <v>4088864</v>
      </c>
      <c r="W9" s="178">
        <f>W10+W13</f>
        <v>4282545</v>
      </c>
      <c r="X9" s="179">
        <f>IFERROR(W9/V9-1,"-")</f>
        <v>4.7367924196060285E-2</v>
      </c>
      <c r="Y9" s="179">
        <f>IFERROR(W9/S9-1,"-")</f>
        <v>2.5679371416479073</v>
      </c>
      <c r="Z9" s="179">
        <f t="shared" ref="Z9:Z21" si="0">U9/U$9</f>
        <v>1</v>
      </c>
    </row>
    <row r="10" spans="1:26" x14ac:dyDescent="0.25">
      <c r="A10" s="1" t="s">
        <v>99</v>
      </c>
      <c r="B10" s="161" t="s">
        <v>100</v>
      </c>
      <c r="C10" s="162">
        <v>79595</v>
      </c>
      <c r="D10" s="162">
        <v>119848</v>
      </c>
      <c r="E10" s="162">
        <v>173672</v>
      </c>
      <c r="F10" s="162">
        <v>208983</v>
      </c>
      <c r="G10" s="162">
        <v>212833</v>
      </c>
      <c r="H10" s="163">
        <f>IFERROR(G10/F10-1,"-")</f>
        <v>1.8422551116598074E-2</v>
      </c>
      <c r="I10" s="180">
        <f t="shared" ref="I10:I73" si="1">IFERROR(G10/C10-1,"-")</f>
        <v>1.6739493686789371</v>
      </c>
      <c r="J10" s="163">
        <f>G10/G$9</f>
        <v>0.28009870369151807</v>
      </c>
      <c r="K10" s="162">
        <v>297299</v>
      </c>
      <c r="L10" s="162">
        <v>549418</v>
      </c>
      <c r="M10" s="162">
        <v>688398</v>
      </c>
      <c r="N10" s="162">
        <v>673764</v>
      </c>
      <c r="O10" s="162">
        <v>676348</v>
      </c>
      <c r="P10" s="163">
        <f>IFERROR(O10/N10-1,"-")</f>
        <v>3.8351707719617156E-3</v>
      </c>
      <c r="Q10" s="180">
        <f t="shared" ref="Q10:Q21" si="2">IFERROR(O10/K10-1,"-")</f>
        <v>1.2749756978664575</v>
      </c>
      <c r="R10" s="163">
        <f>O10/O$9</f>
        <v>0.1919973202335144</v>
      </c>
      <c r="S10" s="162">
        <v>376894</v>
      </c>
      <c r="T10" s="162">
        <v>669266</v>
      </c>
      <c r="U10" s="162">
        <v>862070</v>
      </c>
      <c r="V10" s="162">
        <v>882747</v>
      </c>
      <c r="W10" s="162">
        <v>889181</v>
      </c>
      <c r="X10" s="163">
        <f>IFERROR(W10/V10-1,"-")</f>
        <v>7.2886115727381906E-3</v>
      </c>
      <c r="Y10" s="180">
        <f t="shared" ref="Y10:Y21" si="3">IFERROR(W10/S10-1,"-")</f>
        <v>1.3592336306759991</v>
      </c>
      <c r="Z10" s="163">
        <f t="shared" si="0"/>
        <v>0.2282496657949579</v>
      </c>
    </row>
    <row r="11" spans="1:26" x14ac:dyDescent="0.25">
      <c r="A11" s="164" t="s">
        <v>106</v>
      </c>
      <c r="B11" s="165" t="s">
        <v>106</v>
      </c>
      <c r="C11" s="166">
        <v>38726</v>
      </c>
      <c r="D11" s="166">
        <v>76913</v>
      </c>
      <c r="E11" s="166">
        <v>97401</v>
      </c>
      <c r="F11" s="166">
        <v>119374</v>
      </c>
      <c r="G11" s="166">
        <v>118341</v>
      </c>
      <c r="H11" s="167">
        <f>IFERROR(G11/F11-1,"-")</f>
        <v>-8.6534756312094396E-3</v>
      </c>
      <c r="I11" s="181">
        <f t="shared" si="1"/>
        <v>2.0558539482518206</v>
      </c>
      <c r="J11" s="167">
        <f>G11/G$9</f>
        <v>0.1557425807725209</v>
      </c>
      <c r="K11" s="166">
        <v>112436</v>
      </c>
      <c r="L11" s="166">
        <v>248239</v>
      </c>
      <c r="M11" s="166">
        <v>235468</v>
      </c>
      <c r="N11" s="166">
        <v>222224</v>
      </c>
      <c r="O11" s="166">
        <v>221054</v>
      </c>
      <c r="P11" s="167">
        <f>IFERROR(O11/N11-1,"-")</f>
        <v>-5.2649578803369845E-3</v>
      </c>
      <c r="Q11" s="181">
        <f t="shared" si="2"/>
        <v>0.96604290440784091</v>
      </c>
      <c r="R11" s="167">
        <f>O11/O$9</f>
        <v>6.2751387786907462E-2</v>
      </c>
      <c r="S11" s="166">
        <v>151162</v>
      </c>
      <c r="T11" s="166">
        <v>325152</v>
      </c>
      <c r="U11" s="166">
        <v>332869</v>
      </c>
      <c r="V11" s="166">
        <v>341598</v>
      </c>
      <c r="W11" s="166">
        <v>339395</v>
      </c>
      <c r="X11" s="167">
        <f>IFERROR(W11/V11-1,"-")</f>
        <v>-6.4491009900525809E-3</v>
      </c>
      <c r="Y11" s="181">
        <f t="shared" si="3"/>
        <v>1.2452402058718461</v>
      </c>
      <c r="Z11" s="167">
        <f t="shared" si="0"/>
        <v>8.8133490323873742E-2</v>
      </c>
    </row>
    <row r="12" spans="1:26" x14ac:dyDescent="0.25">
      <c r="A12" s="164" t="s">
        <v>103</v>
      </c>
      <c r="B12" s="165" t="s">
        <v>103</v>
      </c>
      <c r="C12" s="166">
        <v>40869</v>
      </c>
      <c r="D12" s="166">
        <v>42935</v>
      </c>
      <c r="E12" s="166">
        <v>76271</v>
      </c>
      <c r="F12" s="166">
        <v>89609</v>
      </c>
      <c r="G12" s="166">
        <v>94492</v>
      </c>
      <c r="H12" s="167">
        <f>IFERROR(G12/F12-1,"-")</f>
        <v>5.4492294300795718E-2</v>
      </c>
      <c r="I12" s="181">
        <f t="shared" si="1"/>
        <v>1.3120702733122904</v>
      </c>
      <c r="J12" s="167">
        <f>G12/G$9</f>
        <v>0.12435612291899717</v>
      </c>
      <c r="K12" s="166">
        <v>184863</v>
      </c>
      <c r="L12" s="166">
        <v>301179</v>
      </c>
      <c r="M12" s="166">
        <v>452930</v>
      </c>
      <c r="N12" s="166">
        <v>451540</v>
      </c>
      <c r="O12" s="166">
        <v>455294</v>
      </c>
      <c r="P12" s="167">
        <f>IFERROR(O12/N12-1,"-")</f>
        <v>8.3137706515479248E-3</v>
      </c>
      <c r="Q12" s="181">
        <f t="shared" si="2"/>
        <v>1.4628725055852172</v>
      </c>
      <c r="R12" s="167">
        <f>O12/O$9</f>
        <v>0.12924593244660693</v>
      </c>
      <c r="S12" s="166">
        <v>225732</v>
      </c>
      <c r="T12" s="166">
        <v>344114</v>
      </c>
      <c r="U12" s="166">
        <v>529201</v>
      </c>
      <c r="V12" s="166">
        <v>541149</v>
      </c>
      <c r="W12" s="166">
        <v>549786</v>
      </c>
      <c r="X12" s="167">
        <f>IFERROR(W12/V12-1,"-")</f>
        <v>1.5960484081094073E-2</v>
      </c>
      <c r="Y12" s="181">
        <f t="shared" si="3"/>
        <v>1.4355696135240019</v>
      </c>
      <c r="Z12" s="167">
        <f t="shared" si="0"/>
        <v>0.14011617547108415</v>
      </c>
    </row>
    <row r="13" spans="1:26" x14ac:dyDescent="0.25">
      <c r="A13" s="1" t="s">
        <v>149</v>
      </c>
      <c r="B13" s="161" t="s">
        <v>110</v>
      </c>
      <c r="C13" s="162">
        <v>164638</v>
      </c>
      <c r="D13" s="162">
        <v>213007</v>
      </c>
      <c r="E13" s="162">
        <v>498811</v>
      </c>
      <c r="F13" s="162">
        <v>531690</v>
      </c>
      <c r="G13" s="162">
        <v>547017</v>
      </c>
      <c r="H13" s="163">
        <f>IFERROR(G13/F13-1,"-")</f>
        <v>2.8826948033628508E-2</v>
      </c>
      <c r="I13" s="180">
        <f t="shared" si="1"/>
        <v>2.3225440056366087</v>
      </c>
      <c r="J13" s="163">
        <f>G13/G$9</f>
        <v>0.71990129630848199</v>
      </c>
      <c r="K13" s="162">
        <v>658754</v>
      </c>
      <c r="L13" s="162">
        <v>975758</v>
      </c>
      <c r="M13" s="162">
        <v>2415992</v>
      </c>
      <c r="N13" s="162">
        <v>2674427</v>
      </c>
      <c r="O13" s="162">
        <v>2846347</v>
      </c>
      <c r="P13" s="163">
        <f>IFERROR(O13/N13-1,"-")</f>
        <v>6.4282928642284798E-2</v>
      </c>
      <c r="Q13" s="180">
        <f t="shared" si="2"/>
        <v>3.3208041241495305</v>
      </c>
      <c r="R13" s="163">
        <f>O13/O$9</f>
        <v>0.80800267976648565</v>
      </c>
      <c r="S13" s="162">
        <v>823392</v>
      </c>
      <c r="T13" s="162">
        <v>1188765</v>
      </c>
      <c r="U13" s="162">
        <v>2914803</v>
      </c>
      <c r="V13" s="162">
        <v>3206117</v>
      </c>
      <c r="W13" s="162">
        <v>3393364</v>
      </c>
      <c r="X13" s="163">
        <f>IFERROR(W13/V13-1,"-")</f>
        <v>5.8403046426565242E-2</v>
      </c>
      <c r="Y13" s="180">
        <f t="shared" si="3"/>
        <v>3.121201080408845</v>
      </c>
      <c r="Z13" s="163">
        <f t="shared" si="0"/>
        <v>0.77175033420504213</v>
      </c>
    </row>
    <row r="14" spans="1:26" x14ac:dyDescent="0.25">
      <c r="A14" s="164" t="s">
        <v>113</v>
      </c>
      <c r="B14" s="165" t="s">
        <v>113</v>
      </c>
      <c r="C14" s="166">
        <v>55984</v>
      </c>
      <c r="D14" s="166">
        <v>51463</v>
      </c>
      <c r="E14" s="166">
        <v>185404</v>
      </c>
      <c r="F14" s="166">
        <v>205697</v>
      </c>
      <c r="G14" s="166">
        <v>204584</v>
      </c>
      <c r="H14" s="167">
        <f t="shared" ref="H14:H21" si="4">IFERROR(G14/F14-1,"-")</f>
        <v>-5.4108713301603828E-3</v>
      </c>
      <c r="I14" s="181">
        <f t="shared" si="1"/>
        <v>2.6543298085167191</v>
      </c>
      <c r="J14" s="167">
        <f t="shared" ref="J14:J21" si="5">G14/G$9</f>
        <v>0.26924261367375141</v>
      </c>
      <c r="K14" s="166">
        <v>260474</v>
      </c>
      <c r="L14" s="166">
        <v>284717</v>
      </c>
      <c r="M14" s="166">
        <v>1132692</v>
      </c>
      <c r="N14" s="166">
        <v>1254292</v>
      </c>
      <c r="O14" s="166">
        <v>1327743</v>
      </c>
      <c r="P14" s="167">
        <f t="shared" ref="P14:P21" si="6">IFERROR(O14/N14-1,"-")</f>
        <v>5.8559729313429454E-2</v>
      </c>
      <c r="Q14" s="181">
        <f t="shared" si="2"/>
        <v>4.0974108740219757</v>
      </c>
      <c r="R14" s="167">
        <f t="shared" ref="R14:R21" si="7">O14/O$9</f>
        <v>0.37691114331499037</v>
      </c>
      <c r="S14" s="166">
        <v>316458</v>
      </c>
      <c r="T14" s="166">
        <v>336180</v>
      </c>
      <c r="U14" s="166">
        <v>1318096</v>
      </c>
      <c r="V14" s="166">
        <v>1459989</v>
      </c>
      <c r="W14" s="166">
        <v>1532327</v>
      </c>
      <c r="X14" s="167">
        <f t="shared" ref="X14:X21" si="8">IFERROR(W14/V14-1,"-")</f>
        <v>4.9546948641393973E-2</v>
      </c>
      <c r="Y14" s="181">
        <f t="shared" si="3"/>
        <v>3.8421180693804553</v>
      </c>
      <c r="Z14" s="167">
        <f t="shared" si="0"/>
        <v>0.34899134813376037</v>
      </c>
    </row>
    <row r="15" spans="1:26" x14ac:dyDescent="0.25">
      <c r="A15" s="164" t="s">
        <v>116</v>
      </c>
      <c r="B15" s="165" t="s">
        <v>116</v>
      </c>
      <c r="C15" s="166">
        <v>24167</v>
      </c>
      <c r="D15" s="166">
        <v>38221</v>
      </c>
      <c r="E15" s="166">
        <v>64721</v>
      </c>
      <c r="F15" s="166">
        <v>72602</v>
      </c>
      <c r="G15" s="166">
        <v>73311</v>
      </c>
      <c r="H15" s="167">
        <f t="shared" si="4"/>
        <v>9.7655711963857694E-3</v>
      </c>
      <c r="I15" s="181">
        <f t="shared" si="1"/>
        <v>2.033516779078909</v>
      </c>
      <c r="J15" s="167">
        <f t="shared" si="5"/>
        <v>9.6480884385076002E-2</v>
      </c>
      <c r="K15" s="166">
        <v>92917</v>
      </c>
      <c r="L15" s="166">
        <v>156330</v>
      </c>
      <c r="M15" s="166">
        <v>274306</v>
      </c>
      <c r="N15" s="166">
        <v>310411</v>
      </c>
      <c r="O15" s="166">
        <v>317945</v>
      </c>
      <c r="P15" s="167">
        <f t="shared" si="6"/>
        <v>2.4271047095624887E-2</v>
      </c>
      <c r="Q15" s="181">
        <f t="shared" si="2"/>
        <v>2.4218173208347236</v>
      </c>
      <c r="R15" s="167">
        <f t="shared" si="7"/>
        <v>9.0256181701793656E-2</v>
      </c>
      <c r="S15" s="166">
        <v>117084</v>
      </c>
      <c r="T15" s="166">
        <v>194551</v>
      </c>
      <c r="U15" s="166">
        <v>339027</v>
      </c>
      <c r="V15" s="166">
        <v>383013</v>
      </c>
      <c r="W15" s="166">
        <v>391256</v>
      </c>
      <c r="X15" s="167">
        <f t="shared" si="8"/>
        <v>2.1521462717975615E-2</v>
      </c>
      <c r="Y15" s="181">
        <f t="shared" si="3"/>
        <v>2.3416692289296575</v>
      </c>
      <c r="Z15" s="167">
        <f t="shared" si="0"/>
        <v>8.9763939640014376E-2</v>
      </c>
    </row>
    <row r="16" spans="1:26" x14ac:dyDescent="0.25">
      <c r="A16" s="164" t="s">
        <v>119</v>
      </c>
      <c r="B16" s="165" t="s">
        <v>119</v>
      </c>
      <c r="C16" s="166">
        <v>11046</v>
      </c>
      <c r="D16" s="166">
        <v>21498</v>
      </c>
      <c r="E16" s="166">
        <v>31998</v>
      </c>
      <c r="F16" s="166">
        <v>34481</v>
      </c>
      <c r="G16" s="166">
        <v>33841</v>
      </c>
      <c r="H16" s="167">
        <f t="shared" si="4"/>
        <v>-1.8560946608277007E-2</v>
      </c>
      <c r="I16" s="181">
        <f t="shared" si="1"/>
        <v>2.0636429476733658</v>
      </c>
      <c r="J16" s="167">
        <f t="shared" si="5"/>
        <v>4.4536421662170166E-2</v>
      </c>
      <c r="K16" s="166">
        <v>37740</v>
      </c>
      <c r="L16" s="166">
        <v>83736</v>
      </c>
      <c r="M16" s="166">
        <v>134432</v>
      </c>
      <c r="N16" s="166">
        <v>141579</v>
      </c>
      <c r="O16" s="166">
        <v>159005</v>
      </c>
      <c r="P16" s="167">
        <f t="shared" si="6"/>
        <v>0.12308322561961882</v>
      </c>
      <c r="Q16" s="181">
        <f t="shared" si="2"/>
        <v>3.2131690514043454</v>
      </c>
      <c r="R16" s="167">
        <f t="shared" si="7"/>
        <v>4.5137316741869507E-2</v>
      </c>
      <c r="S16" s="166">
        <v>48786</v>
      </c>
      <c r="T16" s="166">
        <v>105234</v>
      </c>
      <c r="U16" s="166">
        <v>166430</v>
      </c>
      <c r="V16" s="166">
        <v>176060</v>
      </c>
      <c r="W16" s="166">
        <v>192846</v>
      </c>
      <c r="X16" s="167">
        <f t="shared" si="8"/>
        <v>9.5342496876064997E-2</v>
      </c>
      <c r="Y16" s="181">
        <f t="shared" si="3"/>
        <v>2.9528963227155329</v>
      </c>
      <c r="Z16" s="167">
        <f t="shared" si="0"/>
        <v>4.4065553700111178E-2</v>
      </c>
    </row>
    <row r="17" spans="1:26" x14ac:dyDescent="0.25">
      <c r="A17" s="164" t="s">
        <v>126</v>
      </c>
      <c r="B17" s="165" t="s">
        <v>126</v>
      </c>
      <c r="C17" s="166">
        <v>4317</v>
      </c>
      <c r="D17" s="166">
        <v>10076</v>
      </c>
      <c r="E17" s="166">
        <v>19335</v>
      </c>
      <c r="F17" s="166">
        <v>14807</v>
      </c>
      <c r="G17" s="166">
        <v>14110</v>
      </c>
      <c r="H17" s="167">
        <f t="shared" si="4"/>
        <v>-4.707233065442018E-2</v>
      </c>
      <c r="I17" s="181">
        <f t="shared" si="1"/>
        <v>2.2684734769515869</v>
      </c>
      <c r="J17" s="167">
        <f t="shared" si="5"/>
        <v>1.8569454497598212E-2</v>
      </c>
      <c r="K17" s="166">
        <v>23237</v>
      </c>
      <c r="L17" s="166">
        <v>56946</v>
      </c>
      <c r="M17" s="166">
        <v>104116</v>
      </c>
      <c r="N17" s="166">
        <v>103068</v>
      </c>
      <c r="O17" s="166">
        <v>113511</v>
      </c>
      <c r="P17" s="167">
        <f t="shared" si="6"/>
        <v>0.10132145767842582</v>
      </c>
      <c r="Q17" s="181">
        <f t="shared" si="2"/>
        <v>3.8849249042475362</v>
      </c>
      <c r="R17" s="167">
        <f t="shared" si="7"/>
        <v>3.2222772621529824E-2</v>
      </c>
      <c r="S17" s="166">
        <v>27554</v>
      </c>
      <c r="T17" s="166">
        <v>67022</v>
      </c>
      <c r="U17" s="166">
        <v>123451</v>
      </c>
      <c r="V17" s="166">
        <v>117875</v>
      </c>
      <c r="W17" s="166">
        <v>127621</v>
      </c>
      <c r="X17" s="167">
        <f t="shared" si="8"/>
        <v>8.2680805938494251E-2</v>
      </c>
      <c r="Y17" s="181">
        <f t="shared" si="3"/>
        <v>3.6316687232343758</v>
      </c>
      <c r="Z17" s="167">
        <f t="shared" si="0"/>
        <v>3.2686034187540861E-2</v>
      </c>
    </row>
    <row r="18" spans="1:26" x14ac:dyDescent="0.25">
      <c r="A18" s="164" t="s">
        <v>122</v>
      </c>
      <c r="B18" s="165" t="s">
        <v>122</v>
      </c>
      <c r="C18" s="166">
        <v>5016</v>
      </c>
      <c r="D18" s="166">
        <v>6294</v>
      </c>
      <c r="E18" s="166">
        <v>10411</v>
      </c>
      <c r="F18" s="166">
        <v>10566</v>
      </c>
      <c r="G18" s="166">
        <v>9886</v>
      </c>
      <c r="H18" s="167">
        <f t="shared" si="4"/>
        <v>-6.4357372704902494E-2</v>
      </c>
      <c r="I18" s="181">
        <f t="shared" si="1"/>
        <v>0.97089314194577359</v>
      </c>
      <c r="J18" s="167">
        <f t="shared" si="5"/>
        <v>1.3010462591300915E-2</v>
      </c>
      <c r="K18" s="166">
        <v>43640</v>
      </c>
      <c r="L18" s="166">
        <v>77431</v>
      </c>
      <c r="M18" s="166">
        <v>120097</v>
      </c>
      <c r="N18" s="166">
        <v>123521</v>
      </c>
      <c r="O18" s="166">
        <v>130398</v>
      </c>
      <c r="P18" s="167">
        <f t="shared" si="6"/>
        <v>5.5674743565871321E-2</v>
      </c>
      <c r="Q18" s="181">
        <f t="shared" si="2"/>
        <v>1.9880384967919338</v>
      </c>
      <c r="R18" s="167">
        <f t="shared" si="7"/>
        <v>3.7016545570933618E-2</v>
      </c>
      <c r="S18" s="166">
        <v>48656</v>
      </c>
      <c r="T18" s="166">
        <v>83725</v>
      </c>
      <c r="U18" s="166">
        <v>130508</v>
      </c>
      <c r="V18" s="166">
        <v>134087</v>
      </c>
      <c r="W18" s="166">
        <v>140284</v>
      </c>
      <c r="X18" s="167">
        <f t="shared" si="8"/>
        <v>4.6216262575790257E-2</v>
      </c>
      <c r="Y18" s="181">
        <f t="shared" si="3"/>
        <v>1.8831798750411051</v>
      </c>
      <c r="Z18" s="167">
        <f t="shared" si="0"/>
        <v>3.4554511099525981E-2</v>
      </c>
    </row>
    <row r="19" spans="1:26" x14ac:dyDescent="0.25">
      <c r="A19" s="164" t="s">
        <v>131</v>
      </c>
      <c r="B19" s="165" t="s">
        <v>131</v>
      </c>
      <c r="C19" s="166">
        <v>3325</v>
      </c>
      <c r="D19" s="166">
        <v>2149</v>
      </c>
      <c r="E19" s="166">
        <v>5595</v>
      </c>
      <c r="F19" s="166">
        <v>6018</v>
      </c>
      <c r="G19" s="166">
        <v>5527</v>
      </c>
      <c r="H19" s="167">
        <f t="shared" si="4"/>
        <v>-8.1588567630441977E-2</v>
      </c>
      <c r="I19" s="181">
        <f t="shared" si="1"/>
        <v>0.66225563909774432</v>
      </c>
      <c r="J19" s="167">
        <f t="shared" si="5"/>
        <v>7.2738040402711059E-3</v>
      </c>
      <c r="K19" s="166">
        <v>14961</v>
      </c>
      <c r="L19" s="166">
        <v>12822</v>
      </c>
      <c r="M19" s="166">
        <v>35340</v>
      </c>
      <c r="N19" s="166">
        <v>38414</v>
      </c>
      <c r="O19" s="166">
        <v>36006</v>
      </c>
      <c r="P19" s="167">
        <f t="shared" si="6"/>
        <v>-6.2685479252355902E-2</v>
      </c>
      <c r="Q19" s="181">
        <f t="shared" si="2"/>
        <v>1.4066573090034087</v>
      </c>
      <c r="R19" s="167">
        <f t="shared" si="7"/>
        <v>1.0221151703454315E-2</v>
      </c>
      <c r="S19" s="166">
        <v>18286</v>
      </c>
      <c r="T19" s="166">
        <v>14971</v>
      </c>
      <c r="U19" s="166">
        <v>40935</v>
      </c>
      <c r="V19" s="166">
        <v>44432</v>
      </c>
      <c r="W19" s="166">
        <v>41533</v>
      </c>
      <c r="X19" s="167">
        <f t="shared" si="8"/>
        <v>-6.5245768815268224E-2</v>
      </c>
      <c r="Y19" s="181">
        <f t="shared" si="3"/>
        <v>1.2713004484304933</v>
      </c>
      <c r="Z19" s="167">
        <f t="shared" si="0"/>
        <v>1.0838331074409967E-2</v>
      </c>
    </row>
    <row r="20" spans="1:26" x14ac:dyDescent="0.25">
      <c r="A20" s="164" t="s">
        <v>134</v>
      </c>
      <c r="B20" s="165" t="s">
        <v>134</v>
      </c>
      <c r="C20" s="166">
        <v>3428</v>
      </c>
      <c r="D20" s="166">
        <v>1763</v>
      </c>
      <c r="E20" s="166">
        <v>3453</v>
      </c>
      <c r="F20" s="166">
        <v>4405</v>
      </c>
      <c r="G20" s="166">
        <v>3651</v>
      </c>
      <c r="H20" s="167">
        <f t="shared" si="4"/>
        <v>-0.17116912599318956</v>
      </c>
      <c r="I20" s="181">
        <f t="shared" si="1"/>
        <v>6.5052508751458626E-2</v>
      </c>
      <c r="J20" s="167">
        <f t="shared" si="5"/>
        <v>4.8048957030992958E-3</v>
      </c>
      <c r="K20" s="166">
        <v>22112</v>
      </c>
      <c r="L20" s="166">
        <v>10721</v>
      </c>
      <c r="M20" s="166">
        <v>31821</v>
      </c>
      <c r="N20" s="166">
        <v>40302</v>
      </c>
      <c r="O20" s="166">
        <v>37275</v>
      </c>
      <c r="P20" s="167">
        <f t="shared" si="6"/>
        <v>-7.5107935090069966E-2</v>
      </c>
      <c r="Q20" s="181">
        <f t="shared" si="2"/>
        <v>0.68573625180897246</v>
      </c>
      <c r="R20" s="167">
        <f t="shared" si="7"/>
        <v>1.0581387261741366E-2</v>
      </c>
      <c r="S20" s="166">
        <v>25540</v>
      </c>
      <c r="T20" s="166">
        <v>12484</v>
      </c>
      <c r="U20" s="166">
        <v>35274</v>
      </c>
      <c r="V20" s="166">
        <v>44707</v>
      </c>
      <c r="W20" s="166">
        <v>40926</v>
      </c>
      <c r="X20" s="167">
        <f t="shared" si="8"/>
        <v>-8.4572885677858034E-2</v>
      </c>
      <c r="Y20" s="181">
        <f t="shared" si="3"/>
        <v>0.60242756460454183</v>
      </c>
      <c r="Z20" s="167">
        <f t="shared" si="0"/>
        <v>9.3394720976850421E-3</v>
      </c>
    </row>
    <row r="21" spans="1:26" x14ac:dyDescent="0.25">
      <c r="A21" s="169" t="s">
        <v>148</v>
      </c>
      <c r="B21" s="170" t="s">
        <v>148</v>
      </c>
      <c r="C21" s="171">
        <f>C13-SUM(C14:C20)</f>
        <v>57355</v>
      </c>
      <c r="D21" s="171">
        <f>D13-SUM(D14:D20)</f>
        <v>81543</v>
      </c>
      <c r="E21" s="171">
        <f>E13-SUM(E14:E20)</f>
        <v>177894</v>
      </c>
      <c r="F21" s="171">
        <f>F13-SUM(F14:F20)</f>
        <v>183114</v>
      </c>
      <c r="G21" s="171">
        <f>G13-SUM(G14:G20)</f>
        <v>202107</v>
      </c>
      <c r="H21" s="172">
        <f t="shared" si="4"/>
        <v>0.10372227137193213</v>
      </c>
      <c r="I21" s="182">
        <f t="shared" si="1"/>
        <v>2.5237904280359165</v>
      </c>
      <c r="J21" s="172">
        <f t="shared" si="5"/>
        <v>0.26598275975521485</v>
      </c>
      <c r="K21" s="171">
        <f>K13-SUM(K14:K20)</f>
        <v>163673</v>
      </c>
      <c r="L21" s="171">
        <f>L13-SUM(L14:L20)</f>
        <v>293055</v>
      </c>
      <c r="M21" s="171">
        <f>M13-SUM(M14:M20)</f>
        <v>583188</v>
      </c>
      <c r="N21" s="171">
        <f>N13-SUM(N14:N20)</f>
        <v>662840</v>
      </c>
      <c r="O21" s="171">
        <f>O13-SUM(O14:O20)</f>
        <v>724464</v>
      </c>
      <c r="P21" s="172">
        <f t="shared" si="6"/>
        <v>9.2969645766700859E-2</v>
      </c>
      <c r="Q21" s="182">
        <f t="shared" si="2"/>
        <v>3.4262890030732009</v>
      </c>
      <c r="R21" s="172">
        <f t="shared" si="7"/>
        <v>0.20565618085017295</v>
      </c>
      <c r="S21" s="171">
        <f>S13-SUM(S14:S20)</f>
        <v>221028</v>
      </c>
      <c r="T21" s="171">
        <f>T13-SUM(T14:T20)</f>
        <v>374598</v>
      </c>
      <c r="U21" s="171">
        <f>U13-SUM(U14:U20)</f>
        <v>761082</v>
      </c>
      <c r="V21" s="171">
        <f>V13-SUM(V14:V20)</f>
        <v>845954</v>
      </c>
      <c r="W21" s="171">
        <f>W13-SUM(W14:W20)</f>
        <v>926571</v>
      </c>
      <c r="X21" s="172">
        <f t="shared" si="8"/>
        <v>9.5297143816330365E-2</v>
      </c>
      <c r="Y21" s="182">
        <f t="shared" si="3"/>
        <v>3.192097833758619</v>
      </c>
      <c r="Z21" s="172">
        <f t="shared" si="0"/>
        <v>0.20151114427199432</v>
      </c>
    </row>
    <row r="22" spans="1:26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</row>
    <row r="23" spans="1:26" x14ac:dyDescent="0.25">
      <c r="A23" s="1" t="s">
        <v>0</v>
      </c>
      <c r="B23" s="158" t="s">
        <v>71</v>
      </c>
      <c r="C23" s="178">
        <f>C24+C27</f>
        <v>42852</v>
      </c>
      <c r="D23" s="178">
        <f>D24+D27</f>
        <v>64946</v>
      </c>
      <c r="E23" s="178">
        <f>E24+E27</f>
        <v>165265</v>
      </c>
      <c r="F23" s="178">
        <f>F24+F27</f>
        <v>165626</v>
      </c>
      <c r="G23" s="178">
        <f>G24+G27</f>
        <v>152899</v>
      </c>
      <c r="H23" s="179">
        <f>IFERROR(G23/F23-1,"-")</f>
        <v>-7.6841800200451615E-2</v>
      </c>
      <c r="I23" s="179">
        <f t="shared" si="1"/>
        <v>2.5680715019135629</v>
      </c>
      <c r="J23" s="179">
        <f>G23/G$9</f>
        <v>0.20122260972560374</v>
      </c>
      <c r="K23" s="178">
        <f>K24+K27</f>
        <v>398770</v>
      </c>
      <c r="L23" s="178">
        <f>L24+L27</f>
        <v>687822</v>
      </c>
      <c r="M23" s="178">
        <f>M24+M27</f>
        <v>1325364</v>
      </c>
      <c r="N23" s="178">
        <f>N24+N27</f>
        <v>1377896</v>
      </c>
      <c r="O23" s="178">
        <f>O24+O27</f>
        <v>1421021</v>
      </c>
      <c r="P23" s="179">
        <f>IFERROR(O23/N23-1,"-")</f>
        <v>3.1297717679708681E-2</v>
      </c>
      <c r="Q23" s="179">
        <f t="shared" ref="Q23:Q86" si="9">IFERROR(O23/K23-1,"-")</f>
        <v>2.5635102941545251</v>
      </c>
      <c r="R23" s="179">
        <f>O23/O$9</f>
        <v>0.4033903020272831</v>
      </c>
      <c r="S23" s="178">
        <f>S24+S27</f>
        <v>441622</v>
      </c>
      <c r="T23" s="178">
        <f>T24+T27</f>
        <v>752768</v>
      </c>
      <c r="U23" s="178">
        <f>U24+U27</f>
        <v>1490629</v>
      </c>
      <c r="V23" s="178">
        <f>V24+V27</f>
        <v>1543522</v>
      </c>
      <c r="W23" s="178">
        <f>W24+W27</f>
        <v>1573920</v>
      </c>
      <c r="X23" s="179">
        <f>IFERROR(W23/V23-1,"-")</f>
        <v>1.9693920786357344E-2</v>
      </c>
      <c r="Y23" s="179">
        <f t="shared" ref="Y23:Y86" si="10">IFERROR(W23/S23-1,"-")</f>
        <v>2.5639528827821079</v>
      </c>
      <c r="Z23" s="179">
        <f t="shared" ref="Z23:Z35" si="11">U23/U$9</f>
        <v>0.39467278883880924</v>
      </c>
    </row>
    <row r="24" spans="1:26" x14ac:dyDescent="0.25">
      <c r="A24" s="1" t="s">
        <v>99</v>
      </c>
      <c r="B24" s="161" t="s">
        <v>100</v>
      </c>
      <c r="C24" s="162">
        <v>2953</v>
      </c>
      <c r="D24" s="162">
        <v>8952</v>
      </c>
      <c r="E24" s="162">
        <v>12689</v>
      </c>
      <c r="F24" s="162">
        <v>11591</v>
      </c>
      <c r="G24" s="162">
        <v>7728</v>
      </c>
      <c r="H24" s="163">
        <f>IFERROR(G24/F24-1,"-")</f>
        <v>-0.33327581744456902</v>
      </c>
      <c r="I24" s="180">
        <f t="shared" si="1"/>
        <v>1.6169996613613273</v>
      </c>
      <c r="J24" s="163">
        <f>G24/G$9</f>
        <v>1.0170428374021188E-2</v>
      </c>
      <c r="K24" s="162">
        <v>90143</v>
      </c>
      <c r="L24" s="162">
        <v>198275</v>
      </c>
      <c r="M24" s="162">
        <v>161372</v>
      </c>
      <c r="N24" s="162">
        <v>131439</v>
      </c>
      <c r="O24" s="162">
        <v>120665</v>
      </c>
      <c r="P24" s="163">
        <f>IFERROR(O24/N24-1,"-")</f>
        <v>-8.1969582848317457E-2</v>
      </c>
      <c r="Q24" s="180">
        <f t="shared" si="9"/>
        <v>0.33859534295508253</v>
      </c>
      <c r="R24" s="163">
        <f>O24/O$9</f>
        <v>3.425360412979267E-2</v>
      </c>
      <c r="S24" s="162">
        <v>93096</v>
      </c>
      <c r="T24" s="162">
        <v>207227</v>
      </c>
      <c r="U24" s="162">
        <v>174061</v>
      </c>
      <c r="V24" s="162">
        <v>143030</v>
      </c>
      <c r="W24" s="162">
        <v>128393</v>
      </c>
      <c r="X24" s="163">
        <f>IFERROR(W24/V24-1,"-")</f>
        <v>-0.10233517443892892</v>
      </c>
      <c r="Y24" s="180">
        <f t="shared" si="10"/>
        <v>0.37914625762653609</v>
      </c>
      <c r="Z24" s="163">
        <f t="shared" si="11"/>
        <v>4.6086008187196124E-2</v>
      </c>
    </row>
    <row r="25" spans="1:26" x14ac:dyDescent="0.25">
      <c r="A25" s="164" t="s">
        <v>106</v>
      </c>
      <c r="B25" s="165" t="s">
        <v>12</v>
      </c>
      <c r="C25" s="166">
        <v>1786</v>
      </c>
      <c r="D25" s="166">
        <v>4418</v>
      </c>
      <c r="E25" s="166">
        <v>6088</v>
      </c>
      <c r="F25" s="166">
        <v>5369</v>
      </c>
      <c r="G25" s="166">
        <v>2401</v>
      </c>
      <c r="H25" s="167">
        <f>IFERROR(G25/F25-1,"-")</f>
        <v>-0.5528031290743155</v>
      </c>
      <c r="I25" s="181">
        <f t="shared" si="1"/>
        <v>0.34434490481522961</v>
      </c>
      <c r="J25" s="167">
        <f>G25/G$9</f>
        <v>3.1598341777982495E-3</v>
      </c>
      <c r="K25" s="166">
        <v>45044</v>
      </c>
      <c r="L25" s="166">
        <v>92809</v>
      </c>
      <c r="M25" s="166">
        <v>62381</v>
      </c>
      <c r="N25" s="166">
        <v>49550</v>
      </c>
      <c r="O25" s="166">
        <v>41611</v>
      </c>
      <c r="P25" s="167">
        <f>IFERROR(O25/N25-1,"-")</f>
        <v>-0.16022199798183656</v>
      </c>
      <c r="Q25" s="181">
        <f t="shared" si="9"/>
        <v>-7.6214368173341596E-2</v>
      </c>
      <c r="R25" s="167">
        <f>O25/O$9</f>
        <v>1.1812263054280884E-2</v>
      </c>
      <c r="S25" s="166">
        <v>46830</v>
      </c>
      <c r="T25" s="166">
        <v>97227</v>
      </c>
      <c r="U25" s="166">
        <v>68469</v>
      </c>
      <c r="V25" s="166">
        <v>54919</v>
      </c>
      <c r="W25" s="166">
        <v>44012</v>
      </c>
      <c r="X25" s="167">
        <f>IFERROR(W25/V25-1,"-")</f>
        <v>-0.19860157686775071</v>
      </c>
      <c r="Y25" s="181">
        <f t="shared" si="10"/>
        <v>-6.0175101430706812E-2</v>
      </c>
      <c r="Z25" s="167">
        <f t="shared" si="11"/>
        <v>1.812848883189877E-2</v>
      </c>
    </row>
    <row r="26" spans="1:26" x14ac:dyDescent="0.25">
      <c r="A26" s="164" t="s">
        <v>103</v>
      </c>
      <c r="B26" s="165" t="s">
        <v>103</v>
      </c>
      <c r="C26" s="166">
        <v>1167</v>
      </c>
      <c r="D26" s="166">
        <v>4534</v>
      </c>
      <c r="E26" s="166">
        <v>6601</v>
      </c>
      <c r="F26" s="166">
        <v>6222</v>
      </c>
      <c r="G26" s="166">
        <v>5327</v>
      </c>
      <c r="H26" s="167">
        <f>IFERROR(G26/F26-1,"-")</f>
        <v>-0.14384442301510769</v>
      </c>
      <c r="I26" s="181">
        <f t="shared" si="1"/>
        <v>3.5646958011996572</v>
      </c>
      <c r="J26" s="167">
        <f>G26/G$9</f>
        <v>7.0105941962229391E-3</v>
      </c>
      <c r="K26" s="166">
        <v>45099</v>
      </c>
      <c r="L26" s="166">
        <v>105466</v>
      </c>
      <c r="M26" s="166">
        <v>98991</v>
      </c>
      <c r="N26" s="166">
        <v>81889</v>
      </c>
      <c r="O26" s="166">
        <v>79054</v>
      </c>
      <c r="P26" s="167">
        <f>IFERROR(O26/N26-1,"-")</f>
        <v>-3.4620034436859681E-2</v>
      </c>
      <c r="Q26" s="181">
        <f t="shared" si="9"/>
        <v>0.75289917736535172</v>
      </c>
      <c r="R26" s="167">
        <f>O26/O$9</f>
        <v>2.2441341075511788E-2</v>
      </c>
      <c r="S26" s="166">
        <v>46266</v>
      </c>
      <c r="T26" s="166">
        <v>110000</v>
      </c>
      <c r="U26" s="166">
        <v>105592</v>
      </c>
      <c r="V26" s="166">
        <v>88111</v>
      </c>
      <c r="W26" s="166">
        <v>84381</v>
      </c>
      <c r="X26" s="167">
        <f>IFERROR(W26/V26-1,"-")</f>
        <v>-4.2332966371962599E-2</v>
      </c>
      <c r="Y26" s="181">
        <f t="shared" si="10"/>
        <v>0.82382310984308127</v>
      </c>
      <c r="Z26" s="167">
        <f t="shared" si="11"/>
        <v>2.7957519355297358E-2</v>
      </c>
    </row>
    <row r="27" spans="1:26" x14ac:dyDescent="0.25">
      <c r="A27" s="1" t="s">
        <v>149</v>
      </c>
      <c r="B27" s="161" t="s">
        <v>110</v>
      </c>
      <c r="C27" s="162">
        <v>39899</v>
      </c>
      <c r="D27" s="162">
        <v>55994</v>
      </c>
      <c r="E27" s="162">
        <v>152576</v>
      </c>
      <c r="F27" s="162">
        <v>154035</v>
      </c>
      <c r="G27" s="162">
        <v>145171</v>
      </c>
      <c r="H27" s="163">
        <f>IFERROR(G27/F27-1,"-")</f>
        <v>-5.7545363066835442E-2</v>
      </c>
      <c r="I27" s="180">
        <f t="shared" si="1"/>
        <v>2.6384621168450337</v>
      </c>
      <c r="J27" s="163">
        <f>G27/G$9</f>
        <v>0.19105218135158256</v>
      </c>
      <c r="K27" s="162">
        <v>308627</v>
      </c>
      <c r="L27" s="162">
        <v>489547</v>
      </c>
      <c r="M27" s="162">
        <v>1163992</v>
      </c>
      <c r="N27" s="162">
        <v>1246457</v>
      </c>
      <c r="O27" s="162">
        <v>1300356</v>
      </c>
      <c r="P27" s="163">
        <f>IFERROR(O27/N27-1,"-")</f>
        <v>4.3241764457177423E-2</v>
      </c>
      <c r="Q27" s="180">
        <f t="shared" si="9"/>
        <v>3.2133578721239555</v>
      </c>
      <c r="R27" s="163">
        <f>O27/O$9</f>
        <v>0.36913669789749043</v>
      </c>
      <c r="S27" s="162">
        <v>348526</v>
      </c>
      <c r="T27" s="162">
        <v>545541</v>
      </c>
      <c r="U27" s="162">
        <v>1316568</v>
      </c>
      <c r="V27" s="162">
        <v>1400492</v>
      </c>
      <c r="W27" s="162">
        <v>1445527</v>
      </c>
      <c r="X27" s="163">
        <f>IFERROR(W27/V27-1,"-")</f>
        <v>3.2156556410175785E-2</v>
      </c>
      <c r="Y27" s="180">
        <f t="shared" si="10"/>
        <v>3.1475442291249429</v>
      </c>
      <c r="Z27" s="163">
        <f t="shared" si="11"/>
        <v>0.34858678065161314</v>
      </c>
    </row>
    <row r="28" spans="1:26" x14ac:dyDescent="0.25">
      <c r="A28" s="164" t="s">
        <v>113</v>
      </c>
      <c r="B28" s="165" t="s">
        <v>113</v>
      </c>
      <c r="C28" s="166">
        <v>14793</v>
      </c>
      <c r="D28" s="166">
        <v>16270</v>
      </c>
      <c r="E28" s="166">
        <v>66823</v>
      </c>
      <c r="F28" s="166">
        <v>69319</v>
      </c>
      <c r="G28" s="166">
        <v>63618</v>
      </c>
      <c r="H28" s="167">
        <f t="shared" ref="H28:H35" si="12">IFERROR(G28/F28-1,"-")</f>
        <v>-8.2242963689608928E-2</v>
      </c>
      <c r="I28" s="181">
        <f t="shared" si="1"/>
        <v>3.3005475562766176</v>
      </c>
      <c r="J28" s="167">
        <f t="shared" ref="J28:J35" si="13">G28/G$9</f>
        <v>8.3724419293281574E-2</v>
      </c>
      <c r="K28" s="166">
        <v>128801</v>
      </c>
      <c r="L28" s="166">
        <v>159037</v>
      </c>
      <c r="M28" s="166">
        <v>590382</v>
      </c>
      <c r="N28" s="166">
        <v>640725</v>
      </c>
      <c r="O28" s="166">
        <v>669764</v>
      </c>
      <c r="P28" s="167">
        <f t="shared" ref="P28:P35" si="14">IFERROR(O28/N28-1,"-")</f>
        <v>4.5322096063053596E-2</v>
      </c>
      <c r="Q28" s="181">
        <f t="shared" si="9"/>
        <v>4.1999906833021479</v>
      </c>
      <c r="R28" s="167">
        <f t="shared" ref="R28:R35" si="15">O28/O$9</f>
        <v>0.19012829665923392</v>
      </c>
      <c r="S28" s="166">
        <v>143594</v>
      </c>
      <c r="T28" s="166">
        <v>175307</v>
      </c>
      <c r="U28" s="166">
        <v>657205</v>
      </c>
      <c r="V28" s="166">
        <v>710044</v>
      </c>
      <c r="W28" s="166">
        <v>733382</v>
      </c>
      <c r="X28" s="167">
        <f t="shared" ref="X28:X35" si="16">IFERROR(W28/V28-1,"-")</f>
        <v>3.2868385621172669E-2</v>
      </c>
      <c r="Y28" s="181">
        <f t="shared" si="10"/>
        <v>4.1073303898491584</v>
      </c>
      <c r="Z28" s="167">
        <f t="shared" si="11"/>
        <v>0.17400770425693424</v>
      </c>
    </row>
    <row r="29" spans="1:26" x14ac:dyDescent="0.25">
      <c r="A29" s="164" t="s">
        <v>116</v>
      </c>
      <c r="B29" s="165" t="s">
        <v>116</v>
      </c>
      <c r="C29" s="166">
        <v>7836</v>
      </c>
      <c r="D29" s="166">
        <v>14336</v>
      </c>
      <c r="E29" s="166">
        <v>27397</v>
      </c>
      <c r="F29" s="166">
        <v>30224</v>
      </c>
      <c r="G29" s="166">
        <v>29376</v>
      </c>
      <c r="H29" s="167">
        <f t="shared" si="12"/>
        <v>-2.8057173107464251E-2</v>
      </c>
      <c r="I29" s="181">
        <f t="shared" si="1"/>
        <v>2.7488514548238898</v>
      </c>
      <c r="J29" s="167">
        <f t="shared" si="13"/>
        <v>3.8660261893794831E-2</v>
      </c>
      <c r="K29" s="166">
        <v>41673</v>
      </c>
      <c r="L29" s="166">
        <v>81095</v>
      </c>
      <c r="M29" s="166">
        <v>128496</v>
      </c>
      <c r="N29" s="166">
        <v>137354</v>
      </c>
      <c r="O29" s="166">
        <v>137486</v>
      </c>
      <c r="P29" s="167">
        <f t="shared" si="14"/>
        <v>9.6102042896450968E-4</v>
      </c>
      <c r="Q29" s="181">
        <f t="shared" si="9"/>
        <v>2.2991625272958509</v>
      </c>
      <c r="R29" s="167">
        <f t="shared" si="15"/>
        <v>3.9028641423682724E-2</v>
      </c>
      <c r="S29" s="166">
        <v>49509</v>
      </c>
      <c r="T29" s="166">
        <v>95431</v>
      </c>
      <c r="U29" s="166">
        <v>155893</v>
      </c>
      <c r="V29" s="166">
        <v>167578</v>
      </c>
      <c r="W29" s="166">
        <v>166862</v>
      </c>
      <c r="X29" s="167">
        <f t="shared" si="16"/>
        <v>-4.27263721968274E-3</v>
      </c>
      <c r="Y29" s="181">
        <f t="shared" si="10"/>
        <v>2.3703367064574117</v>
      </c>
      <c r="Z29" s="167">
        <f t="shared" si="11"/>
        <v>4.1275679642921538E-2</v>
      </c>
    </row>
    <row r="30" spans="1:26" x14ac:dyDescent="0.25">
      <c r="A30" s="164" t="s">
        <v>119</v>
      </c>
      <c r="B30" s="165" t="s">
        <v>119</v>
      </c>
      <c r="C30" s="166">
        <v>3230</v>
      </c>
      <c r="D30" s="166">
        <v>4987</v>
      </c>
      <c r="E30" s="166">
        <v>4132</v>
      </c>
      <c r="F30" s="166">
        <v>2982</v>
      </c>
      <c r="G30" s="166">
        <v>3034</v>
      </c>
      <c r="H30" s="167">
        <f t="shared" si="12"/>
        <v>1.7437961099932897E-2</v>
      </c>
      <c r="I30" s="181">
        <f t="shared" si="1"/>
        <v>-6.0681114551083604E-2</v>
      </c>
      <c r="J30" s="167">
        <f t="shared" si="13"/>
        <v>3.9928933342106999E-3</v>
      </c>
      <c r="K30" s="166">
        <v>13936</v>
      </c>
      <c r="L30" s="166">
        <v>30800</v>
      </c>
      <c r="M30" s="166">
        <v>48228</v>
      </c>
      <c r="N30" s="166">
        <v>43563</v>
      </c>
      <c r="O30" s="166">
        <v>39137</v>
      </c>
      <c r="P30" s="167">
        <f t="shared" si="14"/>
        <v>-0.10159998163579187</v>
      </c>
      <c r="Q30" s="181">
        <f t="shared" si="9"/>
        <v>1.8083381171067736</v>
      </c>
      <c r="R30" s="167">
        <f t="shared" si="15"/>
        <v>1.1109959846083751E-2</v>
      </c>
      <c r="S30" s="166">
        <v>17166</v>
      </c>
      <c r="T30" s="166">
        <v>35787</v>
      </c>
      <c r="U30" s="166">
        <v>52360</v>
      </c>
      <c r="V30" s="166">
        <v>46545</v>
      </c>
      <c r="W30" s="166">
        <v>42171</v>
      </c>
      <c r="X30" s="167">
        <f t="shared" si="16"/>
        <v>-9.3973573960683177E-2</v>
      </c>
      <c r="Y30" s="181">
        <f t="shared" si="10"/>
        <v>1.4566585110101364</v>
      </c>
      <c r="Z30" s="167">
        <f t="shared" si="11"/>
        <v>1.3863320265203516E-2</v>
      </c>
    </row>
    <row r="31" spans="1:26" x14ac:dyDescent="0.25">
      <c r="A31" s="164" t="s">
        <v>126</v>
      </c>
      <c r="B31" s="165" t="s">
        <v>126</v>
      </c>
      <c r="C31" s="166">
        <v>1736</v>
      </c>
      <c r="D31" s="166">
        <v>3938</v>
      </c>
      <c r="E31" s="166">
        <v>7950</v>
      </c>
      <c r="F31" s="166">
        <v>4040</v>
      </c>
      <c r="G31" s="166">
        <v>3255</v>
      </c>
      <c r="H31" s="167">
        <f t="shared" si="12"/>
        <v>-0.19430693069306926</v>
      </c>
      <c r="I31" s="181">
        <f t="shared" si="1"/>
        <v>0.875</v>
      </c>
      <c r="J31" s="167">
        <f t="shared" si="13"/>
        <v>4.2837402118839248E-3</v>
      </c>
      <c r="K31" s="166">
        <v>12314</v>
      </c>
      <c r="L31" s="166">
        <v>32115</v>
      </c>
      <c r="M31" s="166">
        <v>56445</v>
      </c>
      <c r="N31" s="166">
        <v>53432</v>
      </c>
      <c r="O31" s="166">
        <v>57796</v>
      </c>
      <c r="P31" s="167">
        <f t="shared" si="14"/>
        <v>8.1673903278933979E-2</v>
      </c>
      <c r="Q31" s="181">
        <f t="shared" si="9"/>
        <v>3.6935195712197499</v>
      </c>
      <c r="R31" s="167">
        <f t="shared" si="15"/>
        <v>1.6406756758674822E-2</v>
      </c>
      <c r="S31" s="166">
        <v>14050</v>
      </c>
      <c r="T31" s="166">
        <v>36053</v>
      </c>
      <c r="U31" s="166">
        <v>64395</v>
      </c>
      <c r="V31" s="166">
        <v>57472</v>
      </c>
      <c r="W31" s="166">
        <v>61051</v>
      </c>
      <c r="X31" s="167">
        <f t="shared" si="16"/>
        <v>6.2273802895322916E-2</v>
      </c>
      <c r="Y31" s="181">
        <f t="shared" si="10"/>
        <v>3.3452669039145908</v>
      </c>
      <c r="Z31" s="167">
        <f t="shared" si="11"/>
        <v>1.7049818725702454E-2</v>
      </c>
    </row>
    <row r="32" spans="1:26" x14ac:dyDescent="0.25">
      <c r="A32" s="164" t="s">
        <v>122</v>
      </c>
      <c r="B32" s="165" t="s">
        <v>122</v>
      </c>
      <c r="C32" s="166">
        <v>1403</v>
      </c>
      <c r="D32" s="166">
        <v>2232</v>
      </c>
      <c r="E32" s="166">
        <v>4497</v>
      </c>
      <c r="F32" s="166">
        <v>3231</v>
      </c>
      <c r="G32" s="166">
        <v>2567</v>
      </c>
      <c r="H32" s="167">
        <f t="shared" si="12"/>
        <v>-0.20550913030021667</v>
      </c>
      <c r="I32" s="181">
        <f t="shared" si="1"/>
        <v>0.8296507483962936</v>
      </c>
      <c r="J32" s="167">
        <f t="shared" si="13"/>
        <v>3.3782983483582286E-3</v>
      </c>
      <c r="K32" s="166">
        <v>25064</v>
      </c>
      <c r="L32" s="166">
        <v>46414</v>
      </c>
      <c r="M32" s="166">
        <v>73182</v>
      </c>
      <c r="N32" s="166">
        <v>71425</v>
      </c>
      <c r="O32" s="166">
        <v>73828</v>
      </c>
      <c r="P32" s="167">
        <f t="shared" si="14"/>
        <v>3.3643682184109291E-2</v>
      </c>
      <c r="Q32" s="181">
        <f t="shared" si="9"/>
        <v>1.9455793169486117</v>
      </c>
      <c r="R32" s="167">
        <f t="shared" si="15"/>
        <v>2.095781780710507E-2</v>
      </c>
      <c r="S32" s="166">
        <v>26467</v>
      </c>
      <c r="T32" s="166">
        <v>48646</v>
      </c>
      <c r="U32" s="166">
        <v>77679</v>
      </c>
      <c r="V32" s="166">
        <v>74656</v>
      </c>
      <c r="W32" s="166">
        <v>76395</v>
      </c>
      <c r="X32" s="167">
        <f t="shared" si="16"/>
        <v>2.3293506215173565E-2</v>
      </c>
      <c r="Y32" s="181">
        <f t="shared" si="10"/>
        <v>1.8864246042241279</v>
      </c>
      <c r="Z32" s="167">
        <f t="shared" si="11"/>
        <v>2.0567014035155536E-2</v>
      </c>
    </row>
    <row r="33" spans="1:26" x14ac:dyDescent="0.25">
      <c r="A33" s="164" t="s">
        <v>131</v>
      </c>
      <c r="B33" s="165" t="s">
        <v>131</v>
      </c>
      <c r="C33" s="166">
        <v>1376</v>
      </c>
      <c r="D33" s="166">
        <v>590</v>
      </c>
      <c r="E33" s="166">
        <v>1708</v>
      </c>
      <c r="F33" s="166">
        <v>2116</v>
      </c>
      <c r="G33" s="166">
        <v>2577</v>
      </c>
      <c r="H33" s="167">
        <f t="shared" si="12"/>
        <v>0.21786389413988649</v>
      </c>
      <c r="I33" s="181">
        <f t="shared" si="1"/>
        <v>0.87281976744186052</v>
      </c>
      <c r="J33" s="167">
        <f t="shared" si="13"/>
        <v>3.3914588405606371E-3</v>
      </c>
      <c r="K33" s="166">
        <v>8223</v>
      </c>
      <c r="L33" s="166">
        <v>5697</v>
      </c>
      <c r="M33" s="166">
        <v>18357</v>
      </c>
      <c r="N33" s="166">
        <v>18855</v>
      </c>
      <c r="O33" s="166">
        <v>18273</v>
      </c>
      <c r="P33" s="167">
        <f t="shared" si="14"/>
        <v>-3.086714399363566E-2</v>
      </c>
      <c r="Q33" s="181">
        <f t="shared" si="9"/>
        <v>1.2221816855162349</v>
      </c>
      <c r="R33" s="167">
        <f t="shared" si="15"/>
        <v>5.1872217151924874E-3</v>
      </c>
      <c r="S33" s="166">
        <v>9599</v>
      </c>
      <c r="T33" s="166">
        <v>6287</v>
      </c>
      <c r="U33" s="166">
        <v>20065</v>
      </c>
      <c r="V33" s="166">
        <v>20971</v>
      </c>
      <c r="W33" s="166">
        <v>20850</v>
      </c>
      <c r="X33" s="167">
        <f t="shared" si="16"/>
        <v>-5.769872681321786E-3</v>
      </c>
      <c r="Y33" s="181">
        <f t="shared" si="10"/>
        <v>1.1721012605479739</v>
      </c>
      <c r="Z33" s="167">
        <f t="shared" si="11"/>
        <v>5.3125958961288879E-3</v>
      </c>
    </row>
    <row r="34" spans="1:26" x14ac:dyDescent="0.25">
      <c r="A34" s="164" t="s">
        <v>134</v>
      </c>
      <c r="B34" s="165" t="s">
        <v>134</v>
      </c>
      <c r="C34" s="166">
        <v>669</v>
      </c>
      <c r="D34" s="166">
        <v>195</v>
      </c>
      <c r="E34" s="166">
        <v>794</v>
      </c>
      <c r="F34" s="166">
        <v>833</v>
      </c>
      <c r="G34" s="166">
        <v>620</v>
      </c>
      <c r="H34" s="167">
        <f t="shared" si="12"/>
        <v>-0.25570228091236491</v>
      </c>
      <c r="I34" s="181">
        <f t="shared" si="1"/>
        <v>-7.3243647234678577E-2</v>
      </c>
      <c r="J34" s="167">
        <f t="shared" si="13"/>
        <v>8.1595051654931891E-4</v>
      </c>
      <c r="K34" s="166">
        <v>10880</v>
      </c>
      <c r="L34" s="166">
        <v>4211</v>
      </c>
      <c r="M34" s="166">
        <v>16482</v>
      </c>
      <c r="N34" s="166">
        <v>21196</v>
      </c>
      <c r="O34" s="166">
        <v>19378</v>
      </c>
      <c r="P34" s="167">
        <f t="shared" si="14"/>
        <v>-8.5770900169843345E-2</v>
      </c>
      <c r="Q34" s="181">
        <f t="shared" si="9"/>
        <v>0.78106617647058818</v>
      </c>
      <c r="R34" s="167">
        <f t="shared" si="15"/>
        <v>5.5009020082635593E-3</v>
      </c>
      <c r="S34" s="166">
        <v>11549</v>
      </c>
      <c r="T34" s="166">
        <v>4406</v>
      </c>
      <c r="U34" s="166">
        <v>17276</v>
      </c>
      <c r="V34" s="166">
        <v>22029</v>
      </c>
      <c r="W34" s="166">
        <v>19998</v>
      </c>
      <c r="X34" s="167">
        <f t="shared" si="16"/>
        <v>-9.2196649870625036E-2</v>
      </c>
      <c r="Y34" s="181">
        <f t="shared" si="10"/>
        <v>0.73157849164429822</v>
      </c>
      <c r="Z34" s="167">
        <f t="shared" si="11"/>
        <v>4.5741543334922828E-3</v>
      </c>
    </row>
    <row r="35" spans="1:26" x14ac:dyDescent="0.25">
      <c r="A35" s="169" t="s">
        <v>148</v>
      </c>
      <c r="B35" s="170" t="s">
        <v>148</v>
      </c>
      <c r="C35" s="171">
        <f>C27-SUM(C28:C34)</f>
        <v>8856</v>
      </c>
      <c r="D35" s="171">
        <f>D27-SUM(D28:D34)</f>
        <v>13446</v>
      </c>
      <c r="E35" s="171">
        <f>E27-SUM(E28:E34)</f>
        <v>39275</v>
      </c>
      <c r="F35" s="171">
        <f>F27-SUM(F28:F34)</f>
        <v>41290</v>
      </c>
      <c r="G35" s="171">
        <f>G27-SUM(G28:G34)</f>
        <v>40124</v>
      </c>
      <c r="H35" s="172">
        <f t="shared" si="12"/>
        <v>-2.8239283119399383E-2</v>
      </c>
      <c r="I35" s="182">
        <f t="shared" si="1"/>
        <v>3.5307136404697381</v>
      </c>
      <c r="J35" s="172">
        <f t="shared" si="13"/>
        <v>5.2805158912943344E-2</v>
      </c>
      <c r="K35" s="171">
        <f>K27-SUM(K28:K34)</f>
        <v>67736</v>
      </c>
      <c r="L35" s="171">
        <f>L27-SUM(L28:L34)</f>
        <v>130178</v>
      </c>
      <c r="M35" s="171">
        <f>M27-SUM(M28:M34)</f>
        <v>232420</v>
      </c>
      <c r="N35" s="171">
        <f>N27-SUM(N28:N34)</f>
        <v>259907</v>
      </c>
      <c r="O35" s="171">
        <f>O27-SUM(O28:O34)</f>
        <v>284694</v>
      </c>
      <c r="P35" s="172">
        <f t="shared" si="14"/>
        <v>9.5368728045031492E-2</v>
      </c>
      <c r="Q35" s="182">
        <f t="shared" si="9"/>
        <v>3.2029939766150939</v>
      </c>
      <c r="R35" s="172">
        <f t="shared" si="15"/>
        <v>8.08171016792541E-2</v>
      </c>
      <c r="S35" s="171">
        <f>S27-SUM(S28:S34)</f>
        <v>76592</v>
      </c>
      <c r="T35" s="171">
        <f>T27-SUM(T28:T34)</f>
        <v>143624</v>
      </c>
      <c r="U35" s="171">
        <f>U27-SUM(U28:U34)</f>
        <v>271695</v>
      </c>
      <c r="V35" s="171">
        <f>V27-SUM(V28:V34)</f>
        <v>301197</v>
      </c>
      <c r="W35" s="171">
        <f>W27-SUM(W28:W34)</f>
        <v>324818</v>
      </c>
      <c r="X35" s="172">
        <f t="shared" si="16"/>
        <v>7.8423755880702606E-2</v>
      </c>
      <c r="Y35" s="182">
        <f t="shared" si="10"/>
        <v>3.2408867766868603</v>
      </c>
      <c r="Z35" s="172">
        <f t="shared" si="11"/>
        <v>7.1936493496074658E-2</v>
      </c>
    </row>
    <row r="36" spans="1:26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</row>
    <row r="37" spans="1:26" x14ac:dyDescent="0.25">
      <c r="A37" s="1" t="s">
        <v>0</v>
      </c>
      <c r="B37" s="158" t="s">
        <v>71</v>
      </c>
      <c r="C37" s="178">
        <f>C38+C41</f>
        <v>54285</v>
      </c>
      <c r="D37" s="178">
        <f>D38+D41</f>
        <v>50672</v>
      </c>
      <c r="E37" s="178">
        <f>E38+E41</f>
        <v>179190</v>
      </c>
      <c r="F37" s="178">
        <f>F38+F41</f>
        <v>201032</v>
      </c>
      <c r="G37" s="178">
        <f>G38+G41</f>
        <v>210205</v>
      </c>
      <c r="H37" s="179">
        <f>IFERROR(G37/F37-1,"-")</f>
        <v>4.5629551514186906E-2</v>
      </c>
      <c r="I37" s="179">
        <f t="shared" si="1"/>
        <v>2.8722483190568298</v>
      </c>
      <c r="J37" s="179">
        <f>G37/G$9</f>
        <v>0.27664012634072516</v>
      </c>
      <c r="K37" s="178">
        <f>K38+K41</f>
        <v>151994</v>
      </c>
      <c r="L37" s="178">
        <f>L38+L41</f>
        <v>206077</v>
      </c>
      <c r="M37" s="178">
        <f>M38+M41</f>
        <v>573367</v>
      </c>
      <c r="N37" s="178">
        <f>N38+N41</f>
        <v>609879</v>
      </c>
      <c r="O37" s="178">
        <f>O38+O41</f>
        <v>651234</v>
      </c>
      <c r="P37" s="179">
        <f>IFERROR(O37/N37-1,"-")</f>
        <v>6.7808532512186881E-2</v>
      </c>
      <c r="Q37" s="179">
        <f t="shared" si="9"/>
        <v>3.2846033396055105</v>
      </c>
      <c r="R37" s="179">
        <f>O37/O$9</f>
        <v>0.18486811943696516</v>
      </c>
      <c r="S37" s="178">
        <f>S38+S41</f>
        <v>206279</v>
      </c>
      <c r="T37" s="178">
        <f>T38+T41</f>
        <v>256749</v>
      </c>
      <c r="U37" s="178">
        <f>U38+U41</f>
        <v>752557</v>
      </c>
      <c r="V37" s="178">
        <f>V38+V41</f>
        <v>810911</v>
      </c>
      <c r="W37" s="178">
        <f>W38+W41</f>
        <v>861439</v>
      </c>
      <c r="X37" s="179">
        <f>IFERROR(W37/V37-1,"-")</f>
        <v>6.231016720700544E-2</v>
      </c>
      <c r="Y37" s="179">
        <f t="shared" si="10"/>
        <v>3.1760867562863888</v>
      </c>
      <c r="Z37" s="179">
        <f t="shared" ref="Z37:Z49" si="17">U37/U$9</f>
        <v>0.19925398603553787</v>
      </c>
    </row>
    <row r="38" spans="1:26" x14ac:dyDescent="0.25">
      <c r="A38" s="1" t="s">
        <v>99</v>
      </c>
      <c r="B38" s="161" t="s">
        <v>100</v>
      </c>
      <c r="C38" s="162">
        <v>5529</v>
      </c>
      <c r="D38" s="162">
        <v>6062</v>
      </c>
      <c r="E38" s="162">
        <v>22234</v>
      </c>
      <c r="F38" s="162">
        <v>28199</v>
      </c>
      <c r="G38" s="162">
        <v>31522</v>
      </c>
      <c r="H38" s="163">
        <f>IFERROR(G38/F38-1,"-")</f>
        <v>0.11784105819355295</v>
      </c>
      <c r="I38" s="180">
        <f t="shared" si="1"/>
        <v>4.7012117923675163</v>
      </c>
      <c r="J38" s="163">
        <f>G38/G$9</f>
        <v>4.1484503520431662E-2</v>
      </c>
      <c r="K38" s="162">
        <v>19247</v>
      </c>
      <c r="L38" s="162">
        <v>33772</v>
      </c>
      <c r="M38" s="162">
        <v>60854</v>
      </c>
      <c r="N38" s="162">
        <v>53463</v>
      </c>
      <c r="O38" s="162">
        <v>49257</v>
      </c>
      <c r="P38" s="163">
        <f>IFERROR(O38/N38-1,"-")</f>
        <v>-7.8671230570675044E-2</v>
      </c>
      <c r="Q38" s="180">
        <f t="shared" si="9"/>
        <v>1.5592040317971634</v>
      </c>
      <c r="R38" s="163">
        <f>O38/O$9</f>
        <v>1.3982760358191669E-2</v>
      </c>
      <c r="S38" s="162">
        <v>24776</v>
      </c>
      <c r="T38" s="162">
        <v>39834</v>
      </c>
      <c r="U38" s="162">
        <v>83088</v>
      </c>
      <c r="V38" s="162">
        <v>81662</v>
      </c>
      <c r="W38" s="162">
        <v>80779</v>
      </c>
      <c r="X38" s="163">
        <f>IFERROR(W38/V38-1,"-")</f>
        <v>-1.0812862775832044E-2</v>
      </c>
      <c r="Y38" s="180">
        <f t="shared" si="10"/>
        <v>2.2603729415563447</v>
      </c>
      <c r="Z38" s="163">
        <f t="shared" si="17"/>
        <v>2.1999151149641516E-2</v>
      </c>
    </row>
    <row r="39" spans="1:26" x14ac:dyDescent="0.25">
      <c r="A39" s="164" t="s">
        <v>106</v>
      </c>
      <c r="B39" s="165" t="s">
        <v>106</v>
      </c>
      <c r="C39" s="166">
        <v>2180</v>
      </c>
      <c r="D39" s="166">
        <v>4351</v>
      </c>
      <c r="E39" s="166">
        <v>9363</v>
      </c>
      <c r="F39" s="166">
        <v>15617</v>
      </c>
      <c r="G39" s="166">
        <v>21291</v>
      </c>
      <c r="H39" s="167">
        <f>IFERROR(G39/F39-1,"-")</f>
        <v>0.3633220208746879</v>
      </c>
      <c r="I39" s="181">
        <f t="shared" si="1"/>
        <v>8.7665137614678894</v>
      </c>
      <c r="J39" s="167">
        <f>G39/G$9</f>
        <v>2.8020003948147659E-2</v>
      </c>
      <c r="K39" s="166">
        <v>1767</v>
      </c>
      <c r="L39" s="166">
        <v>4726</v>
      </c>
      <c r="M39" s="166">
        <v>9315</v>
      </c>
      <c r="N39" s="166">
        <v>14016</v>
      </c>
      <c r="O39" s="166">
        <v>10087</v>
      </c>
      <c r="P39" s="167">
        <f>IFERROR(O39/N39-1,"-")</f>
        <v>-0.28032248858447484</v>
      </c>
      <c r="Q39" s="181">
        <f t="shared" si="9"/>
        <v>4.7085455574419921</v>
      </c>
      <c r="R39" s="167">
        <f>O39/O$9</f>
        <v>2.8634326843510437E-3</v>
      </c>
      <c r="S39" s="166">
        <v>3947</v>
      </c>
      <c r="T39" s="166">
        <v>9077</v>
      </c>
      <c r="U39" s="166">
        <v>18678</v>
      </c>
      <c r="V39" s="166">
        <v>29633</v>
      </c>
      <c r="W39" s="166">
        <v>31378</v>
      </c>
      <c r="X39" s="167">
        <f>IFERROR(W39/V39-1,"-")</f>
        <v>5.8887051597880768E-2</v>
      </c>
      <c r="Y39" s="181">
        <f t="shared" si="10"/>
        <v>6.9498353179630099</v>
      </c>
      <c r="Z39" s="167">
        <f t="shared" si="17"/>
        <v>4.945360884520078E-3</v>
      </c>
    </row>
    <row r="40" spans="1:26" x14ac:dyDescent="0.25">
      <c r="A40" s="164" t="s">
        <v>103</v>
      </c>
      <c r="B40" s="165" t="s">
        <v>103</v>
      </c>
      <c r="C40" s="166">
        <v>3349</v>
      </c>
      <c r="D40" s="166">
        <v>1711</v>
      </c>
      <c r="E40" s="166">
        <v>12871</v>
      </c>
      <c r="F40" s="166">
        <v>12582</v>
      </c>
      <c r="G40" s="166">
        <v>10231</v>
      </c>
      <c r="H40" s="167">
        <f>IFERROR(G40/F40-1,"-")</f>
        <v>-0.18685423621045938</v>
      </c>
      <c r="I40" s="181">
        <f t="shared" si="1"/>
        <v>2.0549417736637801</v>
      </c>
      <c r="J40" s="167">
        <f>G40/G$9</f>
        <v>1.3464499572284003E-2</v>
      </c>
      <c r="K40" s="166">
        <v>17480</v>
      </c>
      <c r="L40" s="166">
        <v>29046</v>
      </c>
      <c r="M40" s="166">
        <v>51539</v>
      </c>
      <c r="N40" s="166">
        <v>39447</v>
      </c>
      <c r="O40" s="166">
        <v>39170</v>
      </c>
      <c r="P40" s="167">
        <f>IFERROR(O40/N40-1,"-")</f>
        <v>-7.0220802595888365E-3</v>
      </c>
      <c r="Q40" s="181">
        <f t="shared" si="9"/>
        <v>1.2408466819221968</v>
      </c>
      <c r="R40" s="167">
        <f>O40/O$9</f>
        <v>1.1119327673840626E-2</v>
      </c>
      <c r="S40" s="166">
        <v>20829</v>
      </c>
      <c r="T40" s="166">
        <v>30757</v>
      </c>
      <c r="U40" s="166">
        <v>64410</v>
      </c>
      <c r="V40" s="166">
        <v>52029</v>
      </c>
      <c r="W40" s="166">
        <v>49401</v>
      </c>
      <c r="X40" s="167">
        <f>IFERROR(W40/V40-1,"-")</f>
        <v>-5.0510292336965912E-2</v>
      </c>
      <c r="Y40" s="181">
        <f t="shared" si="10"/>
        <v>1.3717413221950165</v>
      </c>
      <c r="Z40" s="167">
        <f t="shared" si="17"/>
        <v>1.7053790265121438E-2</v>
      </c>
    </row>
    <row r="41" spans="1:26" x14ac:dyDescent="0.25">
      <c r="A41" s="1" t="s">
        <v>149</v>
      </c>
      <c r="B41" s="161" t="s">
        <v>110</v>
      </c>
      <c r="C41" s="162">
        <v>48756</v>
      </c>
      <c r="D41" s="162">
        <v>44610</v>
      </c>
      <c r="E41" s="162">
        <v>156956</v>
      </c>
      <c r="F41" s="162">
        <v>172833</v>
      </c>
      <c r="G41" s="162">
        <v>178683</v>
      </c>
      <c r="H41" s="163">
        <f>IFERROR(G41/F41-1,"-")</f>
        <v>3.3847702695665838E-2</v>
      </c>
      <c r="I41" s="180">
        <f t="shared" si="1"/>
        <v>2.6648412503076546</v>
      </c>
      <c r="J41" s="163">
        <f>G41/G$9</f>
        <v>0.23515562282029348</v>
      </c>
      <c r="K41" s="162">
        <v>132747</v>
      </c>
      <c r="L41" s="162">
        <v>172305</v>
      </c>
      <c r="M41" s="162">
        <v>512513</v>
      </c>
      <c r="N41" s="162">
        <v>556416</v>
      </c>
      <c r="O41" s="162">
        <v>601977</v>
      </c>
      <c r="P41" s="163">
        <f>IFERROR(O41/N41-1,"-")</f>
        <v>8.1882979641131781E-2</v>
      </c>
      <c r="Q41" s="180">
        <f t="shared" si="9"/>
        <v>3.5347691473253633</v>
      </c>
      <c r="R41" s="163">
        <f>O41/O$9</f>
        <v>0.1708853590787735</v>
      </c>
      <c r="S41" s="162">
        <v>181503</v>
      </c>
      <c r="T41" s="162">
        <v>216915</v>
      </c>
      <c r="U41" s="162">
        <v>669469</v>
      </c>
      <c r="V41" s="162">
        <v>729249</v>
      </c>
      <c r="W41" s="162">
        <v>780660</v>
      </c>
      <c r="X41" s="163">
        <f>IFERROR(W41/V41-1,"-")</f>
        <v>7.0498553991846347E-2</v>
      </c>
      <c r="Y41" s="180">
        <f t="shared" si="10"/>
        <v>3.3010859324639261</v>
      </c>
      <c r="Z41" s="163">
        <f t="shared" si="17"/>
        <v>0.17725483488589636</v>
      </c>
    </row>
    <row r="42" spans="1:26" x14ac:dyDescent="0.25">
      <c r="A42" s="164" t="s">
        <v>113</v>
      </c>
      <c r="B42" s="165" t="s">
        <v>113</v>
      </c>
      <c r="C42" s="166">
        <v>24960</v>
      </c>
      <c r="D42" s="166">
        <v>17021</v>
      </c>
      <c r="E42" s="166">
        <v>75160</v>
      </c>
      <c r="F42" s="166">
        <v>74704</v>
      </c>
      <c r="G42" s="166">
        <v>75962</v>
      </c>
      <c r="H42" s="167">
        <f t="shared" ref="H42:H49" si="18">IFERROR(G42/F42-1,"-")</f>
        <v>1.6839794388520124E-2</v>
      </c>
      <c r="I42" s="181">
        <f t="shared" si="1"/>
        <v>2.0433493589743588</v>
      </c>
      <c r="J42" s="167">
        <f t="shared" ref="J42:J49" si="19">G42/G$9</f>
        <v>9.9969730867934467E-2</v>
      </c>
      <c r="K42" s="166">
        <v>63301</v>
      </c>
      <c r="L42" s="166">
        <v>63769</v>
      </c>
      <c r="M42" s="166">
        <v>269103</v>
      </c>
      <c r="N42" s="166">
        <v>299592</v>
      </c>
      <c r="O42" s="166">
        <v>337098</v>
      </c>
      <c r="P42" s="167">
        <f t="shared" ref="P42:P49" si="20">IFERROR(O42/N42-1,"-")</f>
        <v>0.12519025875190248</v>
      </c>
      <c r="Q42" s="181">
        <f t="shared" si="9"/>
        <v>4.3253187153441495</v>
      </c>
      <c r="R42" s="167">
        <f t="shared" ref="R42:R49" si="21">O42/O$9</f>
        <v>9.5693212157169444E-2</v>
      </c>
      <c r="S42" s="166">
        <v>88261</v>
      </c>
      <c r="T42" s="166">
        <v>80790</v>
      </c>
      <c r="U42" s="166">
        <v>344263</v>
      </c>
      <c r="V42" s="166">
        <v>374296</v>
      </c>
      <c r="W42" s="166">
        <v>413060</v>
      </c>
      <c r="X42" s="167">
        <f t="shared" ref="X42:X49" si="22">IFERROR(W42/V42-1,"-")</f>
        <v>0.10356509286767701</v>
      </c>
      <c r="Y42" s="181">
        <f t="shared" si="10"/>
        <v>3.6799832315518746</v>
      </c>
      <c r="Z42" s="167">
        <f t="shared" si="17"/>
        <v>9.1150271666534721E-2</v>
      </c>
    </row>
    <row r="43" spans="1:26" x14ac:dyDescent="0.25">
      <c r="A43" s="164" t="s">
        <v>116</v>
      </c>
      <c r="B43" s="165" t="s">
        <v>116</v>
      </c>
      <c r="C43" s="166">
        <v>3221</v>
      </c>
      <c r="D43" s="166">
        <v>2578</v>
      </c>
      <c r="E43" s="166">
        <v>7845</v>
      </c>
      <c r="F43" s="166">
        <v>10851</v>
      </c>
      <c r="G43" s="166">
        <v>11127</v>
      </c>
      <c r="H43" s="167">
        <f t="shared" si="18"/>
        <v>2.5435443737904295E-2</v>
      </c>
      <c r="I43" s="181">
        <f t="shared" si="1"/>
        <v>2.4545172306737038</v>
      </c>
      <c r="J43" s="167">
        <f t="shared" si="19"/>
        <v>1.4643679673619793E-2</v>
      </c>
      <c r="K43" s="166">
        <v>7570</v>
      </c>
      <c r="L43" s="166">
        <v>10918</v>
      </c>
      <c r="M43" s="166">
        <v>19949</v>
      </c>
      <c r="N43" s="166">
        <v>22563</v>
      </c>
      <c r="O43" s="166">
        <v>20333</v>
      </c>
      <c r="P43" s="167">
        <f t="shared" si="20"/>
        <v>-9.883437486149893E-2</v>
      </c>
      <c r="Q43" s="181">
        <f t="shared" si="9"/>
        <v>1.6859973579920742</v>
      </c>
      <c r="R43" s="167">
        <f t="shared" si="21"/>
        <v>5.7720012660761148E-3</v>
      </c>
      <c r="S43" s="166">
        <v>10791</v>
      </c>
      <c r="T43" s="166">
        <v>13496</v>
      </c>
      <c r="U43" s="166">
        <v>27794</v>
      </c>
      <c r="V43" s="166">
        <v>33414</v>
      </c>
      <c r="W43" s="166">
        <v>31460</v>
      </c>
      <c r="X43" s="167">
        <f t="shared" si="22"/>
        <v>-5.8478482073382465E-2</v>
      </c>
      <c r="Y43" s="181">
        <f t="shared" si="10"/>
        <v>1.9153924566768605</v>
      </c>
      <c r="Z43" s="167">
        <f t="shared" si="17"/>
        <v>7.3589977740845403E-3</v>
      </c>
    </row>
    <row r="44" spans="1:26" x14ac:dyDescent="0.25">
      <c r="A44" s="164" t="s">
        <v>119</v>
      </c>
      <c r="B44" s="165" t="s">
        <v>119</v>
      </c>
      <c r="C44" s="166">
        <v>1995</v>
      </c>
      <c r="D44" s="166">
        <v>1781</v>
      </c>
      <c r="E44" s="166">
        <v>5675</v>
      </c>
      <c r="F44" s="166">
        <v>7845</v>
      </c>
      <c r="G44" s="166">
        <v>8232</v>
      </c>
      <c r="H44" s="167">
        <f t="shared" si="18"/>
        <v>4.9330783938814626E-2</v>
      </c>
      <c r="I44" s="181">
        <f t="shared" si="1"/>
        <v>3.1263157894736846</v>
      </c>
      <c r="J44" s="167">
        <f t="shared" si="19"/>
        <v>1.083371718102257E-2</v>
      </c>
      <c r="K44" s="166">
        <v>3970</v>
      </c>
      <c r="L44" s="166">
        <v>8252</v>
      </c>
      <c r="M44" s="166">
        <v>12032</v>
      </c>
      <c r="N44" s="166">
        <v>11886</v>
      </c>
      <c r="O44" s="166">
        <v>11380</v>
      </c>
      <c r="P44" s="167">
        <f t="shared" si="20"/>
        <v>-4.2571092041056691E-2</v>
      </c>
      <c r="Q44" s="181">
        <f t="shared" si="9"/>
        <v>1.8664987405541562</v>
      </c>
      <c r="R44" s="167">
        <f t="shared" si="21"/>
        <v>3.2304812082794565E-3</v>
      </c>
      <c r="S44" s="166">
        <v>5965</v>
      </c>
      <c r="T44" s="166">
        <v>10033</v>
      </c>
      <c r="U44" s="166">
        <v>17707</v>
      </c>
      <c r="V44" s="166">
        <v>19731</v>
      </c>
      <c r="W44" s="166">
        <v>19612</v>
      </c>
      <c r="X44" s="167">
        <f t="shared" si="22"/>
        <v>-6.0311185444225091E-3</v>
      </c>
      <c r="Y44" s="181">
        <f t="shared" si="10"/>
        <v>2.2878457669740149</v>
      </c>
      <c r="Z44" s="167">
        <f t="shared" si="17"/>
        <v>4.688269899464451E-3</v>
      </c>
    </row>
    <row r="45" spans="1:26" x14ac:dyDescent="0.25">
      <c r="A45" s="164" t="s">
        <v>126</v>
      </c>
      <c r="B45" s="165" t="s">
        <v>126</v>
      </c>
      <c r="C45" s="166">
        <v>885</v>
      </c>
      <c r="D45" s="166">
        <v>1430</v>
      </c>
      <c r="E45" s="166">
        <v>3236</v>
      </c>
      <c r="F45" s="166">
        <v>3478</v>
      </c>
      <c r="G45" s="166">
        <v>3809</v>
      </c>
      <c r="H45" s="167">
        <f t="shared" si="18"/>
        <v>9.516963772282927E-2</v>
      </c>
      <c r="I45" s="181">
        <f t="shared" si="1"/>
        <v>3.303954802259887</v>
      </c>
      <c r="J45" s="167">
        <f t="shared" si="19"/>
        <v>5.0128314798973481E-3</v>
      </c>
      <c r="K45" s="166">
        <v>6712</v>
      </c>
      <c r="L45" s="166">
        <v>13570</v>
      </c>
      <c r="M45" s="166">
        <v>27358</v>
      </c>
      <c r="N45" s="166">
        <v>26160</v>
      </c>
      <c r="O45" s="166">
        <v>28369</v>
      </c>
      <c r="P45" s="167">
        <f t="shared" si="20"/>
        <v>8.4441896024464835E-2</v>
      </c>
      <c r="Q45" s="181">
        <f t="shared" si="9"/>
        <v>3.2266090584028602</v>
      </c>
      <c r="R45" s="167">
        <f t="shared" si="21"/>
        <v>8.0532092616590421E-3</v>
      </c>
      <c r="S45" s="166">
        <v>7597</v>
      </c>
      <c r="T45" s="166">
        <v>15000</v>
      </c>
      <c r="U45" s="166">
        <v>30594</v>
      </c>
      <c r="V45" s="166">
        <v>29638</v>
      </c>
      <c r="W45" s="166">
        <v>32178</v>
      </c>
      <c r="X45" s="167">
        <f t="shared" si="22"/>
        <v>8.5700789526958587E-2</v>
      </c>
      <c r="Y45" s="181">
        <f t="shared" si="10"/>
        <v>3.2356193234171382</v>
      </c>
      <c r="Z45" s="167">
        <f t="shared" si="17"/>
        <v>8.100351798961734E-3</v>
      </c>
    </row>
    <row r="46" spans="1:26" x14ac:dyDescent="0.25">
      <c r="A46" s="164" t="s">
        <v>122</v>
      </c>
      <c r="B46" s="165" t="s">
        <v>122</v>
      </c>
      <c r="C46" s="166">
        <v>1080</v>
      </c>
      <c r="D46" s="166">
        <v>722</v>
      </c>
      <c r="E46" s="166">
        <v>1778</v>
      </c>
      <c r="F46" s="166">
        <v>2265</v>
      </c>
      <c r="G46" s="166">
        <v>2413</v>
      </c>
      <c r="H46" s="167">
        <f t="shared" si="18"/>
        <v>6.5342163355408323E-2</v>
      </c>
      <c r="I46" s="181">
        <f t="shared" si="1"/>
        <v>1.2342592592592592</v>
      </c>
      <c r="J46" s="167">
        <f t="shared" si="19"/>
        <v>3.1756267684411397E-3</v>
      </c>
      <c r="K46" s="166">
        <v>11022</v>
      </c>
      <c r="L46" s="166">
        <v>16968</v>
      </c>
      <c r="M46" s="166">
        <v>29000</v>
      </c>
      <c r="N46" s="166">
        <v>33231</v>
      </c>
      <c r="O46" s="166">
        <v>33087</v>
      </c>
      <c r="P46" s="167">
        <f t="shared" si="20"/>
        <v>-4.3333032409497152E-3</v>
      </c>
      <c r="Q46" s="181">
        <f t="shared" si="9"/>
        <v>2.0019052803483941</v>
      </c>
      <c r="R46" s="167">
        <f t="shared" si="21"/>
        <v>9.3925247573235834E-3</v>
      </c>
      <c r="S46" s="166">
        <v>12102</v>
      </c>
      <c r="T46" s="166">
        <v>17690</v>
      </c>
      <c r="U46" s="166">
        <v>30778</v>
      </c>
      <c r="V46" s="166">
        <v>35496</v>
      </c>
      <c r="W46" s="166">
        <v>35500</v>
      </c>
      <c r="X46" s="167">
        <f t="shared" si="22"/>
        <v>1.1268875366243769E-4</v>
      </c>
      <c r="Y46" s="181">
        <f t="shared" si="10"/>
        <v>1.9333994381094035</v>
      </c>
      <c r="Z46" s="167">
        <f t="shared" si="17"/>
        <v>8.1490693491679499E-3</v>
      </c>
    </row>
    <row r="47" spans="1:26" x14ac:dyDescent="0.25">
      <c r="A47" s="164" t="s">
        <v>131</v>
      </c>
      <c r="B47" s="165" t="s">
        <v>131</v>
      </c>
      <c r="C47" s="166">
        <v>1099</v>
      </c>
      <c r="D47" s="166">
        <v>749</v>
      </c>
      <c r="E47" s="166">
        <v>2218</v>
      </c>
      <c r="F47" s="166">
        <v>2217</v>
      </c>
      <c r="G47" s="166">
        <v>1673</v>
      </c>
      <c r="H47" s="167">
        <f t="shared" si="18"/>
        <v>-0.24537663509246732</v>
      </c>
      <c r="I47" s="181">
        <f t="shared" si="1"/>
        <v>0.52229299363057335</v>
      </c>
      <c r="J47" s="167">
        <f t="shared" si="19"/>
        <v>2.2017503454629201E-3</v>
      </c>
      <c r="K47" s="166">
        <v>2296</v>
      </c>
      <c r="L47" s="166">
        <v>2639</v>
      </c>
      <c r="M47" s="166">
        <v>6605</v>
      </c>
      <c r="N47" s="166">
        <v>7002</v>
      </c>
      <c r="O47" s="166">
        <v>6960</v>
      </c>
      <c r="P47" s="167">
        <f t="shared" si="20"/>
        <v>-5.9982862039417162E-3</v>
      </c>
      <c r="Q47" s="181">
        <f t="shared" si="9"/>
        <v>2.0313588850174216</v>
      </c>
      <c r="R47" s="167">
        <f t="shared" si="21"/>
        <v>1.9757600359951687E-3</v>
      </c>
      <c r="S47" s="166">
        <v>3395</v>
      </c>
      <c r="T47" s="166">
        <v>3388</v>
      </c>
      <c r="U47" s="166">
        <v>8823</v>
      </c>
      <c r="V47" s="166">
        <v>9219</v>
      </c>
      <c r="W47" s="166">
        <v>8633</v>
      </c>
      <c r="X47" s="167">
        <f t="shared" si="22"/>
        <v>-6.3564377915175219E-2</v>
      </c>
      <c r="Y47" s="181">
        <f t="shared" si="10"/>
        <v>1.5428571428571427</v>
      </c>
      <c r="Z47" s="167">
        <f t="shared" si="17"/>
        <v>2.336059486246956E-3</v>
      </c>
    </row>
    <row r="48" spans="1:26" x14ac:dyDescent="0.25">
      <c r="A48" s="164" t="s">
        <v>134</v>
      </c>
      <c r="B48" s="165" t="s">
        <v>134</v>
      </c>
      <c r="C48" s="166">
        <v>1080</v>
      </c>
      <c r="D48" s="166">
        <v>761</v>
      </c>
      <c r="E48" s="166">
        <v>1311</v>
      </c>
      <c r="F48" s="166">
        <v>1982</v>
      </c>
      <c r="G48" s="166">
        <v>1393</v>
      </c>
      <c r="H48" s="167">
        <f t="shared" si="18"/>
        <v>-0.29717457114026236</v>
      </c>
      <c r="I48" s="181">
        <f t="shared" si="1"/>
        <v>0.28981481481481475</v>
      </c>
      <c r="J48" s="167">
        <f t="shared" si="19"/>
        <v>1.8332565637954859E-3</v>
      </c>
      <c r="K48" s="166">
        <v>4136</v>
      </c>
      <c r="L48" s="166">
        <v>3019</v>
      </c>
      <c r="M48" s="166">
        <v>6804</v>
      </c>
      <c r="N48" s="166">
        <v>8431</v>
      </c>
      <c r="O48" s="166">
        <v>7038</v>
      </c>
      <c r="P48" s="167">
        <f t="shared" si="20"/>
        <v>-0.16522357964654255</v>
      </c>
      <c r="Q48" s="181">
        <f t="shared" si="9"/>
        <v>0.70164410058027071</v>
      </c>
      <c r="R48" s="167">
        <f t="shared" si="21"/>
        <v>1.9979021743295969E-3</v>
      </c>
      <c r="S48" s="166">
        <v>5216</v>
      </c>
      <c r="T48" s="166">
        <v>3780</v>
      </c>
      <c r="U48" s="166">
        <v>8115</v>
      </c>
      <c r="V48" s="166">
        <v>10413</v>
      </c>
      <c r="W48" s="166">
        <v>8431</v>
      </c>
      <c r="X48" s="167">
        <f t="shared" si="22"/>
        <v>-0.19033899932776333</v>
      </c>
      <c r="Y48" s="181">
        <f t="shared" si="10"/>
        <v>0.61637269938650308</v>
      </c>
      <c r="Z48" s="167">
        <f t="shared" si="17"/>
        <v>2.1486028256708658E-3</v>
      </c>
    </row>
    <row r="49" spans="1:26" x14ac:dyDescent="0.25">
      <c r="A49" s="169" t="s">
        <v>148</v>
      </c>
      <c r="B49" s="170" t="s">
        <v>148</v>
      </c>
      <c r="C49" s="171">
        <f>C41-SUM(C42:C48)</f>
        <v>14436</v>
      </c>
      <c r="D49" s="171">
        <f>D41-SUM(D42:D48)</f>
        <v>19568</v>
      </c>
      <c r="E49" s="171">
        <f>E41-SUM(E42:E48)</f>
        <v>59733</v>
      </c>
      <c r="F49" s="171">
        <f>F41-SUM(F42:F48)</f>
        <v>69491</v>
      </c>
      <c r="G49" s="171">
        <f>G41-SUM(G42:G48)</f>
        <v>74074</v>
      </c>
      <c r="H49" s="172">
        <f t="shared" si="18"/>
        <v>6.5950986458678029E-2</v>
      </c>
      <c r="I49" s="182">
        <f t="shared" si="1"/>
        <v>4.1311997783319478</v>
      </c>
      <c r="J49" s="172">
        <f t="shared" si="19"/>
        <v>9.7485029940119761E-2</v>
      </c>
      <c r="K49" s="171">
        <f>K41-SUM(K42:K48)</f>
        <v>33740</v>
      </c>
      <c r="L49" s="171">
        <f>L41-SUM(L42:L48)</f>
        <v>53170</v>
      </c>
      <c r="M49" s="171">
        <f>M41-SUM(M42:M48)</f>
        <v>141662</v>
      </c>
      <c r="N49" s="171">
        <f>N41-SUM(N42:N48)</f>
        <v>147551</v>
      </c>
      <c r="O49" s="171">
        <f>O41-SUM(O42:O48)</f>
        <v>157712</v>
      </c>
      <c r="P49" s="172">
        <f t="shared" si="20"/>
        <v>6.8864324877500049E-2</v>
      </c>
      <c r="Q49" s="182">
        <f t="shared" si="9"/>
        <v>3.6743331357439244</v>
      </c>
      <c r="R49" s="172">
        <f t="shared" si="21"/>
        <v>4.4770268217941091E-2</v>
      </c>
      <c r="S49" s="171">
        <f>S41-SUM(S42:S48)</f>
        <v>48176</v>
      </c>
      <c r="T49" s="171">
        <f>T41-SUM(T42:T48)</f>
        <v>72738</v>
      </c>
      <c r="U49" s="171">
        <f>U41-SUM(U42:U48)</f>
        <v>201395</v>
      </c>
      <c r="V49" s="171">
        <f>V41-SUM(V42:V48)</f>
        <v>217042</v>
      </c>
      <c r="W49" s="171">
        <f>W41-SUM(W42:W48)</f>
        <v>231786</v>
      </c>
      <c r="X49" s="172">
        <f t="shared" si="22"/>
        <v>6.7931552418425856E-2</v>
      </c>
      <c r="Y49" s="182">
        <f t="shared" si="10"/>
        <v>3.8112338093656595</v>
      </c>
      <c r="Z49" s="172">
        <f t="shared" si="17"/>
        <v>5.3323212085765126E-2</v>
      </c>
    </row>
    <row r="50" spans="1:26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</row>
    <row r="51" spans="1:26" x14ac:dyDescent="0.25">
      <c r="A51" s="1" t="s">
        <v>0</v>
      </c>
      <c r="B51" s="158" t="s">
        <v>71</v>
      </c>
      <c r="C51" s="178">
        <f>C52+C55</f>
        <v>0</v>
      </c>
      <c r="D51" s="178">
        <f>D52+D55</f>
        <v>0</v>
      </c>
      <c r="E51" s="178">
        <f>E52+E55</f>
        <v>0</v>
      </c>
      <c r="F51" s="178">
        <f>F52+F55</f>
        <v>0</v>
      </c>
      <c r="G51" s="178">
        <f>G52+G55</f>
        <v>0</v>
      </c>
      <c r="H51" s="179" t="str">
        <f>IFERROR(G51/F51-1,"-")</f>
        <v>-</v>
      </c>
      <c r="I51" s="179" t="str">
        <f t="shared" si="1"/>
        <v>-</v>
      </c>
      <c r="J51" s="179">
        <f>G51/G$9</f>
        <v>0</v>
      </c>
      <c r="K51" s="178">
        <f>K52+K55</f>
        <v>0</v>
      </c>
      <c r="L51" s="178">
        <f>L52+L55</f>
        <v>0</v>
      </c>
      <c r="M51" s="178">
        <f>M52+M55</f>
        <v>0</v>
      </c>
      <c r="N51" s="178">
        <f>N52+N55</f>
        <v>0</v>
      </c>
      <c r="O51" s="178">
        <f>O52+O55</f>
        <v>0</v>
      </c>
      <c r="P51" s="179" t="str">
        <f>IFERROR(O51/N51-1,"-")</f>
        <v>-</v>
      </c>
      <c r="Q51" s="179" t="str">
        <f t="shared" si="9"/>
        <v>-</v>
      </c>
      <c r="R51" s="179">
        <f>O51/O$9</f>
        <v>0</v>
      </c>
      <c r="S51" s="178">
        <f>S52+S55</f>
        <v>10755</v>
      </c>
      <c r="T51" s="178">
        <f>T52+T55</f>
        <v>20161</v>
      </c>
      <c r="U51" s="178">
        <f>U52+U55</f>
        <v>37638</v>
      </c>
      <c r="V51" s="178">
        <f>V52+V55</f>
        <v>50566</v>
      </c>
      <c r="W51" s="178">
        <f>W52+W55</f>
        <v>44389</v>
      </c>
      <c r="X51" s="179">
        <f>IFERROR(W51/V51-1,"-")</f>
        <v>-0.12215718071431392</v>
      </c>
      <c r="Y51" s="179">
        <f t="shared" si="10"/>
        <v>3.1272896327289637</v>
      </c>
      <c r="Z51" s="179">
        <f t="shared" ref="Z51:Z63" si="23">U51/U$9</f>
        <v>9.9653867101170725E-3</v>
      </c>
    </row>
    <row r="52" spans="1:26" x14ac:dyDescent="0.25">
      <c r="A52" s="1" t="s">
        <v>99</v>
      </c>
      <c r="B52" s="161" t="s">
        <v>100</v>
      </c>
      <c r="C52" s="162">
        <v>0</v>
      </c>
      <c r="D52" s="162">
        <v>0</v>
      </c>
      <c r="E52" s="162">
        <v>0</v>
      </c>
      <c r="F52" s="162">
        <v>0</v>
      </c>
      <c r="G52" s="162">
        <v>0</v>
      </c>
      <c r="H52" s="163" t="str">
        <f>IFERROR(G52/F52-1,"-")</f>
        <v>-</v>
      </c>
      <c r="I52" s="180" t="str">
        <f t="shared" si="1"/>
        <v>-</v>
      </c>
      <c r="J52" s="163">
        <f>G52/G$9</f>
        <v>0</v>
      </c>
      <c r="K52" s="162">
        <v>0</v>
      </c>
      <c r="L52" s="162">
        <v>0</v>
      </c>
      <c r="M52" s="162">
        <v>0</v>
      </c>
      <c r="N52" s="162">
        <v>0</v>
      </c>
      <c r="O52" s="162">
        <v>0</v>
      </c>
      <c r="P52" s="163" t="str">
        <f>IFERROR(O52/N52-1,"-")</f>
        <v>-</v>
      </c>
      <c r="Q52" s="180" t="str">
        <f t="shared" si="9"/>
        <v>-</v>
      </c>
      <c r="R52" s="163">
        <f>O52/O$9</f>
        <v>0</v>
      </c>
      <c r="S52" s="162">
        <v>1989</v>
      </c>
      <c r="T52" s="162">
        <v>4950</v>
      </c>
      <c r="U52" s="162">
        <v>6738</v>
      </c>
      <c r="V52" s="162">
        <v>20123</v>
      </c>
      <c r="W52" s="162">
        <v>11822</v>
      </c>
      <c r="X52" s="163">
        <f>IFERROR(W52/V52-1,"-")</f>
        <v>-0.41251304477463602</v>
      </c>
      <c r="Y52" s="180">
        <f t="shared" si="10"/>
        <v>4.9436902966314733</v>
      </c>
      <c r="Z52" s="163">
        <f t="shared" si="23"/>
        <v>1.7840155070080461E-3</v>
      </c>
    </row>
    <row r="53" spans="1:26" x14ac:dyDescent="0.25">
      <c r="A53" s="164" t="s">
        <v>106</v>
      </c>
      <c r="B53" s="165" t="s">
        <v>106</v>
      </c>
      <c r="C53" s="166">
        <v>0</v>
      </c>
      <c r="D53" s="166">
        <v>0</v>
      </c>
      <c r="E53" s="166">
        <v>0</v>
      </c>
      <c r="F53" s="166">
        <v>0</v>
      </c>
      <c r="G53" s="166">
        <v>0</v>
      </c>
      <c r="H53" s="167" t="str">
        <f>IFERROR(G53/F53-1,"-")</f>
        <v>-</v>
      </c>
      <c r="I53" s="181" t="str">
        <f t="shared" si="1"/>
        <v>-</v>
      </c>
      <c r="J53" s="167">
        <f>G53/G$9</f>
        <v>0</v>
      </c>
      <c r="K53" s="166">
        <v>0</v>
      </c>
      <c r="L53" s="166">
        <v>0</v>
      </c>
      <c r="M53" s="166">
        <v>0</v>
      </c>
      <c r="N53" s="166">
        <v>0</v>
      </c>
      <c r="O53" s="166">
        <v>0</v>
      </c>
      <c r="P53" s="167" t="str">
        <f>IFERROR(O53/N53-1,"-")</f>
        <v>-</v>
      </c>
      <c r="Q53" s="181" t="str">
        <f t="shared" si="9"/>
        <v>-</v>
      </c>
      <c r="R53" s="167">
        <f>O53/O$9</f>
        <v>0</v>
      </c>
      <c r="S53" s="166">
        <v>1487</v>
      </c>
      <c r="T53" s="166">
        <v>2415</v>
      </c>
      <c r="U53" s="166">
        <v>3508</v>
      </c>
      <c r="V53" s="166">
        <v>14745</v>
      </c>
      <c r="W53" s="166">
        <v>7661</v>
      </c>
      <c r="X53" s="167">
        <f>IFERROR(W53/V53-1,"-")</f>
        <v>-0.48043404543913193</v>
      </c>
      <c r="Y53" s="181">
        <f t="shared" si="10"/>
        <v>4.1519838601210495</v>
      </c>
      <c r="Z53" s="167">
        <f t="shared" si="23"/>
        <v>9.2881068545328373E-4</v>
      </c>
    </row>
    <row r="54" spans="1:26" x14ac:dyDescent="0.25">
      <c r="A54" s="164" t="s">
        <v>103</v>
      </c>
      <c r="B54" s="165" t="s">
        <v>103</v>
      </c>
      <c r="C54" s="166">
        <v>0</v>
      </c>
      <c r="D54" s="166">
        <v>0</v>
      </c>
      <c r="E54" s="166">
        <v>0</v>
      </c>
      <c r="F54" s="166">
        <v>0</v>
      </c>
      <c r="G54" s="166">
        <v>0</v>
      </c>
      <c r="H54" s="167" t="str">
        <f>IFERROR(G54/F54-1,"-")</f>
        <v>-</v>
      </c>
      <c r="I54" s="181" t="str">
        <f t="shared" si="1"/>
        <v>-</v>
      </c>
      <c r="J54" s="167">
        <f>G54/G$9</f>
        <v>0</v>
      </c>
      <c r="K54" s="166">
        <v>0</v>
      </c>
      <c r="L54" s="166">
        <v>0</v>
      </c>
      <c r="M54" s="166">
        <v>0</v>
      </c>
      <c r="N54" s="166">
        <v>0</v>
      </c>
      <c r="O54" s="166">
        <v>0</v>
      </c>
      <c r="P54" s="167" t="str">
        <f>IFERROR(O54/N54-1,"-")</f>
        <v>-</v>
      </c>
      <c r="Q54" s="181" t="str">
        <f t="shared" si="9"/>
        <v>-</v>
      </c>
      <c r="R54" s="167">
        <f>O54/O$9</f>
        <v>0</v>
      </c>
      <c r="S54" s="166">
        <v>502</v>
      </c>
      <c r="T54" s="166">
        <v>2535</v>
      </c>
      <c r="U54" s="166">
        <v>3230</v>
      </c>
      <c r="V54" s="166">
        <v>5378</v>
      </c>
      <c r="W54" s="166">
        <v>4161</v>
      </c>
      <c r="X54" s="167">
        <f>IFERROR(W54/V54-1,"-")</f>
        <v>-0.22629230197099293</v>
      </c>
      <c r="Y54" s="181">
        <f t="shared" si="10"/>
        <v>7.2888446215139435</v>
      </c>
      <c r="Z54" s="167">
        <f t="shared" si="23"/>
        <v>8.552048215547624E-4</v>
      </c>
    </row>
    <row r="55" spans="1:26" x14ac:dyDescent="0.25">
      <c r="A55" s="1" t="s">
        <v>149</v>
      </c>
      <c r="B55" s="161" t="s">
        <v>110</v>
      </c>
      <c r="C55" s="162">
        <v>0</v>
      </c>
      <c r="D55" s="162">
        <v>0</v>
      </c>
      <c r="E55" s="162">
        <v>0</v>
      </c>
      <c r="F55" s="162">
        <v>0</v>
      </c>
      <c r="G55" s="162">
        <v>0</v>
      </c>
      <c r="H55" s="163" t="str">
        <f>IFERROR(G55/F55-1,"-")</f>
        <v>-</v>
      </c>
      <c r="I55" s="180" t="str">
        <f t="shared" si="1"/>
        <v>-</v>
      </c>
      <c r="J55" s="163">
        <f>G55/G$9</f>
        <v>0</v>
      </c>
      <c r="K55" s="162">
        <v>0</v>
      </c>
      <c r="L55" s="162">
        <v>0</v>
      </c>
      <c r="M55" s="162">
        <v>0</v>
      </c>
      <c r="N55" s="162">
        <v>0</v>
      </c>
      <c r="O55" s="162">
        <v>0</v>
      </c>
      <c r="P55" s="163" t="str">
        <f>IFERROR(O55/N55-1,"-")</f>
        <v>-</v>
      </c>
      <c r="Q55" s="180" t="str">
        <f t="shared" si="9"/>
        <v>-</v>
      </c>
      <c r="R55" s="163">
        <f>O55/O$9</f>
        <v>0</v>
      </c>
      <c r="S55" s="162">
        <v>8766</v>
      </c>
      <c r="T55" s="162">
        <v>15211</v>
      </c>
      <c r="U55" s="162">
        <v>30900</v>
      </c>
      <c r="V55" s="162">
        <v>30443</v>
      </c>
      <c r="W55" s="162">
        <v>32567</v>
      </c>
      <c r="X55" s="163">
        <f>IFERROR(W55/V55-1,"-")</f>
        <v>6.9769733600499206E-2</v>
      </c>
      <c r="Y55" s="180">
        <f t="shared" si="10"/>
        <v>2.7151494410221311</v>
      </c>
      <c r="Z55" s="163">
        <f t="shared" si="23"/>
        <v>8.1813712031090276E-3</v>
      </c>
    </row>
    <row r="56" spans="1:26" x14ac:dyDescent="0.25">
      <c r="A56" s="164" t="s">
        <v>113</v>
      </c>
      <c r="B56" s="165" t="s">
        <v>113</v>
      </c>
      <c r="C56" s="166">
        <v>0</v>
      </c>
      <c r="D56" s="166">
        <v>0</v>
      </c>
      <c r="E56" s="166">
        <v>0</v>
      </c>
      <c r="F56" s="166">
        <v>0</v>
      </c>
      <c r="G56" s="166">
        <v>0</v>
      </c>
      <c r="H56" s="167" t="str">
        <f t="shared" ref="H56:H63" si="24">IFERROR(G56/F56-1,"-")</f>
        <v>-</v>
      </c>
      <c r="I56" s="181" t="str">
        <f t="shared" si="1"/>
        <v>-</v>
      </c>
      <c r="J56" s="167">
        <f t="shared" ref="J56:J63" si="25">G56/G$9</f>
        <v>0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7" t="str">
        <f t="shared" ref="P56:P63" si="26">IFERROR(O56/N56-1,"-")</f>
        <v>-</v>
      </c>
      <c r="Q56" s="181" t="str">
        <f t="shared" si="9"/>
        <v>-</v>
      </c>
      <c r="R56" s="167">
        <f t="shared" ref="R56:R63" si="27">O56/O$9</f>
        <v>0</v>
      </c>
      <c r="S56" s="166">
        <v>2464</v>
      </c>
      <c r="T56" s="166">
        <v>3030</v>
      </c>
      <c r="U56" s="166">
        <v>10329</v>
      </c>
      <c r="V56" s="166">
        <v>9247</v>
      </c>
      <c r="W56" s="166">
        <v>10964</v>
      </c>
      <c r="X56" s="167">
        <f t="shared" ref="X56:X63" si="28">IFERROR(W56/V56-1,"-")</f>
        <v>0.18568184275981392</v>
      </c>
      <c r="Y56" s="181">
        <f t="shared" si="10"/>
        <v>3.4496753246753249</v>
      </c>
      <c r="Z56" s="167">
        <f t="shared" si="23"/>
        <v>2.7348020439130465E-3</v>
      </c>
    </row>
    <row r="57" spans="1:26" x14ac:dyDescent="0.25">
      <c r="A57" s="164" t="s">
        <v>116</v>
      </c>
      <c r="B57" s="165" t="s">
        <v>116</v>
      </c>
      <c r="C57" s="166">
        <v>0</v>
      </c>
      <c r="D57" s="166">
        <v>0</v>
      </c>
      <c r="E57" s="166">
        <v>0</v>
      </c>
      <c r="F57" s="166">
        <v>0</v>
      </c>
      <c r="G57" s="166">
        <v>0</v>
      </c>
      <c r="H57" s="167" t="str">
        <f t="shared" si="24"/>
        <v>-</v>
      </c>
      <c r="I57" s="181" t="str">
        <f t="shared" si="1"/>
        <v>-</v>
      </c>
      <c r="J57" s="167">
        <f t="shared" si="25"/>
        <v>0</v>
      </c>
      <c r="K57" s="166">
        <v>0</v>
      </c>
      <c r="L57" s="166">
        <v>0</v>
      </c>
      <c r="M57" s="166">
        <v>0</v>
      </c>
      <c r="N57" s="166">
        <v>0</v>
      </c>
      <c r="O57" s="166">
        <v>0</v>
      </c>
      <c r="P57" s="167" t="str">
        <f t="shared" si="26"/>
        <v>-</v>
      </c>
      <c r="Q57" s="181" t="str">
        <f t="shared" si="9"/>
        <v>-</v>
      </c>
      <c r="R57" s="167">
        <f t="shared" si="27"/>
        <v>0</v>
      </c>
      <c r="S57" s="166">
        <v>2785</v>
      </c>
      <c r="T57" s="166">
        <v>5150</v>
      </c>
      <c r="U57" s="166">
        <v>6783</v>
      </c>
      <c r="V57" s="166">
        <v>6068</v>
      </c>
      <c r="W57" s="166">
        <v>6166</v>
      </c>
      <c r="X57" s="167">
        <f t="shared" si="28"/>
        <v>1.6150296638101524E-2</v>
      </c>
      <c r="Y57" s="181">
        <f t="shared" si="10"/>
        <v>1.214003590664273</v>
      </c>
      <c r="Z57" s="167">
        <f t="shared" si="23"/>
        <v>1.7959301252650009E-3</v>
      </c>
    </row>
    <row r="58" spans="1:26" x14ac:dyDescent="0.25">
      <c r="A58" s="164" t="s">
        <v>119</v>
      </c>
      <c r="B58" s="165" t="s">
        <v>119</v>
      </c>
      <c r="C58" s="166">
        <v>0</v>
      </c>
      <c r="D58" s="166">
        <v>0</v>
      </c>
      <c r="E58" s="166">
        <v>0</v>
      </c>
      <c r="F58" s="166">
        <v>0</v>
      </c>
      <c r="G58" s="166">
        <v>0</v>
      </c>
      <c r="H58" s="167" t="str">
        <f t="shared" si="24"/>
        <v>-</v>
      </c>
      <c r="I58" s="181" t="str">
        <f t="shared" si="1"/>
        <v>-</v>
      </c>
      <c r="J58" s="167">
        <f t="shared" si="25"/>
        <v>0</v>
      </c>
      <c r="K58" s="166">
        <v>0</v>
      </c>
      <c r="L58" s="166">
        <v>0</v>
      </c>
      <c r="M58" s="166">
        <v>0</v>
      </c>
      <c r="N58" s="166">
        <v>0</v>
      </c>
      <c r="O58" s="166">
        <v>0</v>
      </c>
      <c r="P58" s="167" t="str">
        <f t="shared" si="26"/>
        <v>-</v>
      </c>
      <c r="Q58" s="181" t="str">
        <f t="shared" si="9"/>
        <v>-</v>
      </c>
      <c r="R58" s="167">
        <f t="shared" si="27"/>
        <v>0</v>
      </c>
      <c r="S58" s="166">
        <v>488</v>
      </c>
      <c r="T58" s="166">
        <v>1642</v>
      </c>
      <c r="U58" s="166">
        <v>2739</v>
      </c>
      <c r="V58" s="166">
        <v>2907</v>
      </c>
      <c r="W58" s="166">
        <v>2482</v>
      </c>
      <c r="X58" s="167">
        <f t="shared" si="28"/>
        <v>-0.14619883040935677</v>
      </c>
      <c r="Y58" s="181">
        <f t="shared" si="10"/>
        <v>4.0860655737704921</v>
      </c>
      <c r="Z58" s="167">
        <f t="shared" si="23"/>
        <v>7.2520309790665457E-4</v>
      </c>
    </row>
    <row r="59" spans="1:26" x14ac:dyDescent="0.25">
      <c r="A59" s="164" t="s">
        <v>126</v>
      </c>
      <c r="B59" s="165" t="s">
        <v>126</v>
      </c>
      <c r="C59" s="166">
        <v>0</v>
      </c>
      <c r="D59" s="166">
        <v>0</v>
      </c>
      <c r="E59" s="166">
        <v>0</v>
      </c>
      <c r="F59" s="166">
        <v>0</v>
      </c>
      <c r="G59" s="166">
        <v>0</v>
      </c>
      <c r="H59" s="167" t="str">
        <f t="shared" si="24"/>
        <v>-</v>
      </c>
      <c r="I59" s="181" t="str">
        <f t="shared" si="1"/>
        <v>-</v>
      </c>
      <c r="J59" s="167">
        <f t="shared" si="25"/>
        <v>0</v>
      </c>
      <c r="K59" s="166">
        <v>0</v>
      </c>
      <c r="L59" s="166">
        <v>0</v>
      </c>
      <c r="M59" s="166">
        <v>0</v>
      </c>
      <c r="N59" s="166">
        <v>0</v>
      </c>
      <c r="O59" s="166">
        <v>0</v>
      </c>
      <c r="P59" s="167" t="str">
        <f t="shared" si="26"/>
        <v>-</v>
      </c>
      <c r="Q59" s="181" t="str">
        <f t="shared" si="9"/>
        <v>-</v>
      </c>
      <c r="R59" s="167">
        <f t="shared" si="27"/>
        <v>0</v>
      </c>
      <c r="S59" s="166">
        <v>271</v>
      </c>
      <c r="T59" s="166">
        <v>377</v>
      </c>
      <c r="U59" s="166">
        <v>866</v>
      </c>
      <c r="V59" s="166">
        <v>806</v>
      </c>
      <c r="W59" s="166">
        <v>1053</v>
      </c>
      <c r="X59" s="167">
        <f t="shared" si="28"/>
        <v>0.30645161290322576</v>
      </c>
      <c r="Y59" s="181">
        <f t="shared" si="10"/>
        <v>2.8856088560885609</v>
      </c>
      <c r="Z59" s="167">
        <f t="shared" si="23"/>
        <v>2.2929020912273196E-4</v>
      </c>
    </row>
    <row r="60" spans="1:26" x14ac:dyDescent="0.25">
      <c r="A60" s="164" t="s">
        <v>122</v>
      </c>
      <c r="B60" s="165" t="s">
        <v>122</v>
      </c>
      <c r="C60" s="166">
        <v>0</v>
      </c>
      <c r="D60" s="166">
        <v>0</v>
      </c>
      <c r="E60" s="166">
        <v>0</v>
      </c>
      <c r="F60" s="166">
        <v>0</v>
      </c>
      <c r="G60" s="166">
        <v>0</v>
      </c>
      <c r="H60" s="167" t="str">
        <f t="shared" si="24"/>
        <v>-</v>
      </c>
      <c r="I60" s="181" t="str">
        <f t="shared" si="1"/>
        <v>-</v>
      </c>
      <c r="J60" s="167">
        <f t="shared" si="25"/>
        <v>0</v>
      </c>
      <c r="K60" s="166">
        <v>0</v>
      </c>
      <c r="L60" s="166">
        <v>0</v>
      </c>
      <c r="M60" s="166">
        <v>0</v>
      </c>
      <c r="N60" s="166">
        <v>0</v>
      </c>
      <c r="O60" s="166">
        <v>0</v>
      </c>
      <c r="P60" s="167" t="str">
        <f t="shared" si="26"/>
        <v>-</v>
      </c>
      <c r="Q60" s="181" t="str">
        <f t="shared" si="9"/>
        <v>-</v>
      </c>
      <c r="R60" s="167">
        <f t="shared" si="27"/>
        <v>0</v>
      </c>
      <c r="S60" s="166">
        <v>177</v>
      </c>
      <c r="T60" s="166">
        <v>476</v>
      </c>
      <c r="U60" s="166">
        <v>649</v>
      </c>
      <c r="V60" s="166">
        <v>683</v>
      </c>
      <c r="W60" s="166">
        <v>736</v>
      </c>
      <c r="X60" s="167">
        <f t="shared" si="28"/>
        <v>7.7598828696925359E-2</v>
      </c>
      <c r="Y60" s="181">
        <f t="shared" si="10"/>
        <v>3.1581920903954801</v>
      </c>
      <c r="Z60" s="167">
        <f t="shared" si="23"/>
        <v>1.7183527219474947E-4</v>
      </c>
    </row>
    <row r="61" spans="1:26" x14ac:dyDescent="0.25">
      <c r="A61" s="164" t="s">
        <v>131</v>
      </c>
      <c r="B61" s="165" t="s">
        <v>131</v>
      </c>
      <c r="C61" s="166">
        <v>0</v>
      </c>
      <c r="D61" s="166">
        <v>0</v>
      </c>
      <c r="E61" s="166">
        <v>0</v>
      </c>
      <c r="F61" s="166">
        <v>0</v>
      </c>
      <c r="G61" s="166">
        <v>0</v>
      </c>
      <c r="H61" s="167" t="str">
        <f t="shared" si="24"/>
        <v>-</v>
      </c>
      <c r="I61" s="181" t="str">
        <f t="shared" si="1"/>
        <v>-</v>
      </c>
      <c r="J61" s="167">
        <f t="shared" si="25"/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7" t="str">
        <f t="shared" si="26"/>
        <v>-</v>
      </c>
      <c r="Q61" s="181" t="str">
        <f t="shared" si="9"/>
        <v>-</v>
      </c>
      <c r="R61" s="167">
        <f t="shared" si="27"/>
        <v>0</v>
      </c>
      <c r="S61" s="166">
        <v>76</v>
      </c>
      <c r="T61" s="166">
        <v>98</v>
      </c>
      <c r="U61" s="166">
        <v>132</v>
      </c>
      <c r="V61" s="166">
        <v>239</v>
      </c>
      <c r="W61" s="166">
        <v>145</v>
      </c>
      <c r="X61" s="167">
        <f t="shared" si="28"/>
        <v>-0.39330543933054396</v>
      </c>
      <c r="Y61" s="181">
        <f t="shared" si="10"/>
        <v>0.90789473684210531</v>
      </c>
      <c r="Z61" s="167">
        <f t="shared" si="23"/>
        <v>3.4949546887067689E-5</v>
      </c>
    </row>
    <row r="62" spans="1:26" x14ac:dyDescent="0.25">
      <c r="A62" s="164" t="s">
        <v>134</v>
      </c>
      <c r="B62" s="165" t="s">
        <v>134</v>
      </c>
      <c r="C62" s="166">
        <v>0</v>
      </c>
      <c r="D62" s="166">
        <v>0</v>
      </c>
      <c r="E62" s="166">
        <v>0</v>
      </c>
      <c r="F62" s="166">
        <v>0</v>
      </c>
      <c r="G62" s="166">
        <v>0</v>
      </c>
      <c r="H62" s="167" t="str">
        <f t="shared" si="24"/>
        <v>-</v>
      </c>
      <c r="I62" s="181" t="str">
        <f t="shared" si="1"/>
        <v>-</v>
      </c>
      <c r="J62" s="167">
        <f t="shared" si="25"/>
        <v>0</v>
      </c>
      <c r="K62" s="166">
        <v>0</v>
      </c>
      <c r="L62" s="166">
        <v>0</v>
      </c>
      <c r="M62" s="166">
        <v>0</v>
      </c>
      <c r="N62" s="166">
        <v>0</v>
      </c>
      <c r="O62" s="166">
        <v>0</v>
      </c>
      <c r="P62" s="167" t="str">
        <f t="shared" si="26"/>
        <v>-</v>
      </c>
      <c r="Q62" s="181" t="str">
        <f t="shared" si="9"/>
        <v>-</v>
      </c>
      <c r="R62" s="167">
        <f t="shared" si="27"/>
        <v>0</v>
      </c>
      <c r="S62" s="166">
        <v>121</v>
      </c>
      <c r="T62" s="166">
        <v>91</v>
      </c>
      <c r="U62" s="166">
        <v>153</v>
      </c>
      <c r="V62" s="166">
        <v>195</v>
      </c>
      <c r="W62" s="166">
        <v>158</v>
      </c>
      <c r="X62" s="167">
        <f t="shared" si="28"/>
        <v>-0.18974358974358974</v>
      </c>
      <c r="Y62" s="181">
        <f t="shared" si="10"/>
        <v>0.30578512396694224</v>
      </c>
      <c r="Z62" s="167">
        <f t="shared" si="23"/>
        <v>4.0509702073646636E-5</v>
      </c>
    </row>
    <row r="63" spans="1:26" x14ac:dyDescent="0.25">
      <c r="A63" s="169" t="s">
        <v>148</v>
      </c>
      <c r="B63" s="170" t="s">
        <v>148</v>
      </c>
      <c r="C63" s="171">
        <f>C55-SUM(C56:C62)</f>
        <v>0</v>
      </c>
      <c r="D63" s="171">
        <f>D55-SUM(D56:D62)</f>
        <v>0</v>
      </c>
      <c r="E63" s="171">
        <f>E55-SUM(E56:E62)</f>
        <v>0</v>
      </c>
      <c r="F63" s="171">
        <f>F55-SUM(F56:F62)</f>
        <v>0</v>
      </c>
      <c r="G63" s="171">
        <f>G55-SUM(G56:G62)</f>
        <v>0</v>
      </c>
      <c r="H63" s="172" t="str">
        <f t="shared" si="24"/>
        <v>-</v>
      </c>
      <c r="I63" s="182" t="str">
        <f t="shared" si="1"/>
        <v>-</v>
      </c>
      <c r="J63" s="172">
        <f t="shared" si="25"/>
        <v>0</v>
      </c>
      <c r="K63" s="171">
        <f>K55-SUM(K56:K62)</f>
        <v>0</v>
      </c>
      <c r="L63" s="171">
        <f>L55-SUM(L56:L62)</f>
        <v>0</v>
      </c>
      <c r="M63" s="171">
        <f>M55-SUM(M56:M62)</f>
        <v>0</v>
      </c>
      <c r="N63" s="171">
        <f>N55-SUM(N56:N62)</f>
        <v>0</v>
      </c>
      <c r="O63" s="171">
        <f>O55-SUM(O56:O62)</f>
        <v>0</v>
      </c>
      <c r="P63" s="172" t="str">
        <f t="shared" si="26"/>
        <v>-</v>
      </c>
      <c r="Q63" s="182" t="str">
        <f t="shared" si="9"/>
        <v>-</v>
      </c>
      <c r="R63" s="172">
        <f t="shared" si="27"/>
        <v>0</v>
      </c>
      <c r="S63" s="171">
        <f>S55-SUM(S56:S62)</f>
        <v>2384</v>
      </c>
      <c r="T63" s="171">
        <f>T55-SUM(T56:T62)</f>
        <v>4347</v>
      </c>
      <c r="U63" s="171">
        <f>U55-SUM(U56:U62)</f>
        <v>9249</v>
      </c>
      <c r="V63" s="171">
        <f>V55-SUM(V56:V62)</f>
        <v>10298</v>
      </c>
      <c r="W63" s="171">
        <f>W55-SUM(W56:W62)</f>
        <v>10863</v>
      </c>
      <c r="X63" s="172">
        <f t="shared" si="28"/>
        <v>5.48650223344338E-2</v>
      </c>
      <c r="Y63" s="182">
        <f t="shared" si="10"/>
        <v>3.5566275167785237</v>
      </c>
      <c r="Z63" s="172">
        <f t="shared" si="23"/>
        <v>2.4488512057461291E-3</v>
      </c>
    </row>
    <row r="64" spans="1:26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</row>
    <row r="65" spans="1:26" x14ac:dyDescent="0.25">
      <c r="A65" s="1" t="s">
        <v>0</v>
      </c>
      <c r="B65" s="158" t="s">
        <v>71</v>
      </c>
      <c r="C65" s="178">
        <f>C66+C69</f>
        <v>0</v>
      </c>
      <c r="D65" s="178">
        <f>D66+D69</f>
        <v>0</v>
      </c>
      <c r="E65" s="178">
        <f>E66+E69</f>
        <v>0</v>
      </c>
      <c r="F65" s="178">
        <f>F66+F69</f>
        <v>0</v>
      </c>
      <c r="G65" s="178">
        <f>G66+G69</f>
        <v>0</v>
      </c>
      <c r="H65" s="179" t="str">
        <f>IFERROR(G65/F65-1,"-")</f>
        <v>-</v>
      </c>
      <c r="I65" s="179" t="str">
        <f t="shared" si="1"/>
        <v>-</v>
      </c>
      <c r="J65" s="179">
        <f>G65/G$9</f>
        <v>0</v>
      </c>
      <c r="K65" s="178">
        <f>K66+K69</f>
        <v>0</v>
      </c>
      <c r="L65" s="178">
        <f>L66+L69</f>
        <v>0</v>
      </c>
      <c r="M65" s="178">
        <f>M66+M69</f>
        <v>0</v>
      </c>
      <c r="N65" s="178">
        <f>N66+N69</f>
        <v>0</v>
      </c>
      <c r="O65" s="178">
        <f>O66+O69</f>
        <v>0</v>
      </c>
      <c r="P65" s="179" t="str">
        <f>IFERROR(O65/N65-1,"-")</f>
        <v>-</v>
      </c>
      <c r="Q65" s="179" t="str">
        <f t="shared" si="9"/>
        <v>-</v>
      </c>
      <c r="R65" s="179">
        <f>O65/O$9</f>
        <v>0</v>
      </c>
      <c r="S65" s="178">
        <f>S66+S69</f>
        <v>54073</v>
      </c>
      <c r="T65" s="178">
        <f>T66+T69</f>
        <v>62020</v>
      </c>
      <c r="U65" s="178">
        <f>U66+U69</f>
        <v>151473</v>
      </c>
      <c r="V65" s="178">
        <f>V66+V69</f>
        <v>164769</v>
      </c>
      <c r="W65" s="178">
        <f>W66+W69</f>
        <v>191595</v>
      </c>
      <c r="X65" s="179">
        <f>IFERROR(W65/V65-1,"-")</f>
        <v>0.16280975183438628</v>
      </c>
      <c r="Y65" s="179">
        <f t="shared" si="10"/>
        <v>2.5432655854123132</v>
      </c>
      <c r="Z65" s="179">
        <f t="shared" ref="Z65:Z77" si="29">U65/U$9</f>
        <v>4.0105399360793971E-2</v>
      </c>
    </row>
    <row r="66" spans="1:26" x14ac:dyDescent="0.25">
      <c r="A66" s="1" t="s">
        <v>99</v>
      </c>
      <c r="B66" s="161" t="s">
        <v>100</v>
      </c>
      <c r="C66" s="162">
        <v>0</v>
      </c>
      <c r="D66" s="162">
        <v>0</v>
      </c>
      <c r="E66" s="162">
        <v>0</v>
      </c>
      <c r="F66" s="162">
        <v>0</v>
      </c>
      <c r="G66" s="162">
        <v>0</v>
      </c>
      <c r="H66" s="163" t="str">
        <f>IFERROR(G66/F66-1,"-")</f>
        <v>-</v>
      </c>
      <c r="I66" s="180" t="str">
        <f t="shared" si="1"/>
        <v>-</v>
      </c>
      <c r="J66" s="163">
        <f>G66/G$9</f>
        <v>0</v>
      </c>
      <c r="K66" s="162">
        <v>0</v>
      </c>
      <c r="L66" s="162">
        <v>0</v>
      </c>
      <c r="M66" s="162">
        <v>0</v>
      </c>
      <c r="N66" s="162">
        <v>0</v>
      </c>
      <c r="O66" s="162">
        <v>0</v>
      </c>
      <c r="P66" s="163" t="str">
        <f>IFERROR(O66/N66-1,"-")</f>
        <v>-</v>
      </c>
      <c r="Q66" s="180" t="str">
        <f t="shared" si="9"/>
        <v>-</v>
      </c>
      <c r="R66" s="163">
        <f>O66/O$9</f>
        <v>0</v>
      </c>
      <c r="S66" s="162">
        <v>24032</v>
      </c>
      <c r="T66" s="162">
        <v>25803</v>
      </c>
      <c r="U66" s="162">
        <v>30941</v>
      </c>
      <c r="V66" s="162">
        <v>42327</v>
      </c>
      <c r="W66" s="162">
        <v>58550</v>
      </c>
      <c r="X66" s="163">
        <f>IFERROR(W66/V66-1,"-")</f>
        <v>0.38327781321615051</v>
      </c>
      <c r="Y66" s="180">
        <f t="shared" si="10"/>
        <v>1.4363348868175767</v>
      </c>
      <c r="Z66" s="163">
        <f t="shared" si="29"/>
        <v>8.1922267441875852E-3</v>
      </c>
    </row>
    <row r="67" spans="1:26" x14ac:dyDescent="0.25">
      <c r="A67" s="164" t="s">
        <v>106</v>
      </c>
      <c r="B67" s="165" t="s">
        <v>106</v>
      </c>
      <c r="C67" s="166">
        <v>0</v>
      </c>
      <c r="D67" s="166">
        <v>0</v>
      </c>
      <c r="E67" s="166">
        <v>0</v>
      </c>
      <c r="F67" s="166">
        <v>0</v>
      </c>
      <c r="G67" s="166">
        <v>0</v>
      </c>
      <c r="H67" s="167" t="str">
        <f>IFERROR(G67/F67-1,"-")</f>
        <v>-</v>
      </c>
      <c r="I67" s="181" t="str">
        <f t="shared" si="1"/>
        <v>-</v>
      </c>
      <c r="J67" s="167">
        <f>G67/G$9</f>
        <v>0</v>
      </c>
      <c r="K67" s="166">
        <v>0</v>
      </c>
      <c r="L67" s="166">
        <v>0</v>
      </c>
      <c r="M67" s="166">
        <v>0</v>
      </c>
      <c r="N67" s="166">
        <v>0</v>
      </c>
      <c r="O67" s="166">
        <v>0</v>
      </c>
      <c r="P67" s="167" t="str">
        <f>IFERROR(O67/N67-1,"-")</f>
        <v>-</v>
      </c>
      <c r="Q67" s="181" t="str">
        <f t="shared" si="9"/>
        <v>-</v>
      </c>
      <c r="R67" s="167">
        <f>O67/O$9</f>
        <v>0</v>
      </c>
      <c r="S67" s="166">
        <v>8814</v>
      </c>
      <c r="T67" s="166">
        <v>21207</v>
      </c>
      <c r="U67" s="166">
        <v>22920</v>
      </c>
      <c r="V67" s="166">
        <v>28864</v>
      </c>
      <c r="W67" s="166">
        <v>34800</v>
      </c>
      <c r="X67" s="167">
        <f>IFERROR(W67/V67-1,"-")</f>
        <v>0.20565410199556533</v>
      </c>
      <c r="Y67" s="181">
        <f t="shared" si="10"/>
        <v>2.9482641252552755</v>
      </c>
      <c r="Z67" s="167">
        <f t="shared" si="29"/>
        <v>6.0685122322090262E-3</v>
      </c>
    </row>
    <row r="68" spans="1:26" x14ac:dyDescent="0.25">
      <c r="A68" s="164" t="s">
        <v>103</v>
      </c>
      <c r="B68" s="165" t="s">
        <v>103</v>
      </c>
      <c r="C68" s="166">
        <v>0</v>
      </c>
      <c r="D68" s="166">
        <v>0</v>
      </c>
      <c r="E68" s="166">
        <v>0</v>
      </c>
      <c r="F68" s="166">
        <v>0</v>
      </c>
      <c r="G68" s="166">
        <v>0</v>
      </c>
      <c r="H68" s="167" t="str">
        <f>IFERROR(G68/F68-1,"-")</f>
        <v>-</v>
      </c>
      <c r="I68" s="181" t="str">
        <f t="shared" si="1"/>
        <v>-</v>
      </c>
      <c r="J68" s="167">
        <f>G68/G$9</f>
        <v>0</v>
      </c>
      <c r="K68" s="166">
        <v>0</v>
      </c>
      <c r="L68" s="166">
        <v>0</v>
      </c>
      <c r="M68" s="166">
        <v>0</v>
      </c>
      <c r="N68" s="166">
        <v>0</v>
      </c>
      <c r="O68" s="166">
        <v>0</v>
      </c>
      <c r="P68" s="167" t="str">
        <f>IFERROR(O68/N68-1,"-")</f>
        <v>-</v>
      </c>
      <c r="Q68" s="181" t="str">
        <f t="shared" si="9"/>
        <v>-</v>
      </c>
      <c r="R68" s="167">
        <f>O68/O$9</f>
        <v>0</v>
      </c>
      <c r="S68" s="166">
        <v>15218</v>
      </c>
      <c r="T68" s="166">
        <v>4596</v>
      </c>
      <c r="U68" s="166">
        <v>8021</v>
      </c>
      <c r="V68" s="166">
        <v>13463</v>
      </c>
      <c r="W68" s="166">
        <v>23750</v>
      </c>
      <c r="X68" s="167">
        <f>IFERROR(W68/V68-1,"-")</f>
        <v>0.76409418406001639</v>
      </c>
      <c r="Y68" s="181">
        <f t="shared" si="10"/>
        <v>0.56065185963990016</v>
      </c>
      <c r="Z68" s="167">
        <f t="shared" si="29"/>
        <v>2.1237145119785599E-3</v>
      </c>
    </row>
    <row r="69" spans="1:26" x14ac:dyDescent="0.25">
      <c r="A69" s="1" t="s">
        <v>149</v>
      </c>
      <c r="B69" s="161" t="s">
        <v>110</v>
      </c>
      <c r="C69" s="162">
        <v>0</v>
      </c>
      <c r="D69" s="162">
        <v>0</v>
      </c>
      <c r="E69" s="162">
        <v>0</v>
      </c>
      <c r="F69" s="162">
        <v>0</v>
      </c>
      <c r="G69" s="162">
        <v>0</v>
      </c>
      <c r="H69" s="163" t="str">
        <f>IFERROR(G69/F69-1,"-")</f>
        <v>-</v>
      </c>
      <c r="I69" s="180" t="str">
        <f t="shared" si="1"/>
        <v>-</v>
      </c>
      <c r="J69" s="163">
        <f>G69/G$9</f>
        <v>0</v>
      </c>
      <c r="K69" s="162">
        <v>0</v>
      </c>
      <c r="L69" s="162">
        <v>0</v>
      </c>
      <c r="M69" s="162">
        <v>0</v>
      </c>
      <c r="N69" s="162">
        <v>0</v>
      </c>
      <c r="O69" s="162">
        <v>0</v>
      </c>
      <c r="P69" s="163" t="str">
        <f>IFERROR(O69/N69-1,"-")</f>
        <v>-</v>
      </c>
      <c r="Q69" s="180" t="str">
        <f t="shared" si="9"/>
        <v>-</v>
      </c>
      <c r="R69" s="163">
        <f>O69/O$9</f>
        <v>0</v>
      </c>
      <c r="S69" s="162">
        <v>30041</v>
      </c>
      <c r="T69" s="162">
        <v>36217</v>
      </c>
      <c r="U69" s="162">
        <v>120532</v>
      </c>
      <c r="V69" s="162">
        <v>122442</v>
      </c>
      <c r="W69" s="162">
        <v>133045</v>
      </c>
      <c r="X69" s="163">
        <f>IFERROR(W69/V69-1,"-")</f>
        <v>8.6596102644517448E-2</v>
      </c>
      <c r="Y69" s="180">
        <f t="shared" si="10"/>
        <v>3.428780666422556</v>
      </c>
      <c r="Z69" s="163">
        <f t="shared" si="29"/>
        <v>3.1913172616606381E-2</v>
      </c>
    </row>
    <row r="70" spans="1:26" x14ac:dyDescent="0.25">
      <c r="A70" s="164" t="s">
        <v>113</v>
      </c>
      <c r="B70" s="165" t="s">
        <v>113</v>
      </c>
      <c r="C70" s="166">
        <v>0</v>
      </c>
      <c r="D70" s="166">
        <v>0</v>
      </c>
      <c r="E70" s="166">
        <v>0</v>
      </c>
      <c r="F70" s="166">
        <v>0</v>
      </c>
      <c r="G70" s="166">
        <v>0</v>
      </c>
      <c r="H70" s="167" t="str">
        <f t="shared" ref="H70:H77" si="30">IFERROR(G70/F70-1,"-")</f>
        <v>-</v>
      </c>
      <c r="I70" s="181" t="str">
        <f t="shared" si="1"/>
        <v>-</v>
      </c>
      <c r="J70" s="167">
        <f t="shared" ref="J70:J77" si="31">G70/G$9</f>
        <v>0</v>
      </c>
      <c r="K70" s="166">
        <v>0</v>
      </c>
      <c r="L70" s="166">
        <v>0</v>
      </c>
      <c r="M70" s="166">
        <v>0</v>
      </c>
      <c r="N70" s="166">
        <v>0</v>
      </c>
      <c r="O70" s="166">
        <v>0</v>
      </c>
      <c r="P70" s="167" t="str">
        <f t="shared" ref="P70:P77" si="32">IFERROR(O70/N70-1,"-")</f>
        <v>-</v>
      </c>
      <c r="Q70" s="181" t="str">
        <f t="shared" si="9"/>
        <v>-</v>
      </c>
      <c r="R70" s="167">
        <f t="shared" ref="R70:R77" si="33">O70/O$9</f>
        <v>0</v>
      </c>
      <c r="S70" s="166">
        <v>13564</v>
      </c>
      <c r="T70" s="166">
        <v>7549</v>
      </c>
      <c r="U70" s="166">
        <v>52809</v>
      </c>
      <c r="V70" s="166">
        <v>47522</v>
      </c>
      <c r="W70" s="166">
        <v>45250</v>
      </c>
      <c r="X70" s="167">
        <f t="shared" ref="X70:X77" si="34">IFERROR(W70/V70-1,"-")</f>
        <v>-4.7809435629813546E-2</v>
      </c>
      <c r="Y70" s="181">
        <f t="shared" si="10"/>
        <v>2.3360365673842525</v>
      </c>
      <c r="Z70" s="167">
        <f t="shared" si="29"/>
        <v>1.3982201678478466E-2</v>
      </c>
    </row>
    <row r="71" spans="1:26" x14ac:dyDescent="0.25">
      <c r="A71" s="164" t="s">
        <v>116</v>
      </c>
      <c r="B71" s="165" t="s">
        <v>116</v>
      </c>
      <c r="C71" s="166">
        <v>0</v>
      </c>
      <c r="D71" s="166">
        <v>0</v>
      </c>
      <c r="E71" s="166">
        <v>0</v>
      </c>
      <c r="F71" s="166">
        <v>0</v>
      </c>
      <c r="G71" s="166">
        <v>0</v>
      </c>
      <c r="H71" s="167" t="str">
        <f t="shared" si="30"/>
        <v>-</v>
      </c>
      <c r="I71" s="181" t="str">
        <f t="shared" si="1"/>
        <v>-</v>
      </c>
      <c r="J71" s="167">
        <f t="shared" si="31"/>
        <v>0</v>
      </c>
      <c r="K71" s="166">
        <v>0</v>
      </c>
      <c r="L71" s="166">
        <v>0</v>
      </c>
      <c r="M71" s="166">
        <v>0</v>
      </c>
      <c r="N71" s="166">
        <v>0</v>
      </c>
      <c r="O71" s="166">
        <v>0</v>
      </c>
      <c r="P71" s="167" t="str">
        <f t="shared" si="32"/>
        <v>-</v>
      </c>
      <c r="Q71" s="181" t="str">
        <f t="shared" si="9"/>
        <v>-</v>
      </c>
      <c r="R71" s="167">
        <f t="shared" si="33"/>
        <v>0</v>
      </c>
      <c r="S71" s="166">
        <v>3277</v>
      </c>
      <c r="T71" s="166">
        <v>3513</v>
      </c>
      <c r="U71" s="166">
        <v>7009</v>
      </c>
      <c r="V71" s="166">
        <v>10647</v>
      </c>
      <c r="W71" s="166">
        <v>9892</v>
      </c>
      <c r="X71" s="167">
        <f t="shared" si="34"/>
        <v>-7.0911993988917121E-2</v>
      </c>
      <c r="Y71" s="181">
        <f t="shared" si="10"/>
        <v>2.0186145865120535</v>
      </c>
      <c r="Z71" s="167">
        <f t="shared" si="29"/>
        <v>1.8557679858443744E-3</v>
      </c>
    </row>
    <row r="72" spans="1:26" x14ac:dyDescent="0.25">
      <c r="A72" s="164" t="s">
        <v>119</v>
      </c>
      <c r="B72" s="165" t="s">
        <v>119</v>
      </c>
      <c r="C72" s="166">
        <v>0</v>
      </c>
      <c r="D72" s="166">
        <v>0</v>
      </c>
      <c r="E72" s="166">
        <v>0</v>
      </c>
      <c r="F72" s="166">
        <v>0</v>
      </c>
      <c r="G72" s="166">
        <v>0</v>
      </c>
      <c r="H72" s="167" t="str">
        <f t="shared" si="30"/>
        <v>-</v>
      </c>
      <c r="I72" s="181" t="str">
        <f t="shared" si="1"/>
        <v>-</v>
      </c>
      <c r="J72" s="167">
        <f t="shared" si="31"/>
        <v>0</v>
      </c>
      <c r="K72" s="166">
        <v>0</v>
      </c>
      <c r="L72" s="166">
        <v>0</v>
      </c>
      <c r="M72" s="166">
        <v>0</v>
      </c>
      <c r="N72" s="166">
        <v>0</v>
      </c>
      <c r="O72" s="166">
        <v>0</v>
      </c>
      <c r="P72" s="167" t="str">
        <f t="shared" si="32"/>
        <v>-</v>
      </c>
      <c r="Q72" s="181" t="str">
        <f t="shared" si="9"/>
        <v>-</v>
      </c>
      <c r="R72" s="167">
        <f t="shared" si="33"/>
        <v>0</v>
      </c>
      <c r="S72" s="166">
        <v>3407</v>
      </c>
      <c r="T72" s="166">
        <v>6247</v>
      </c>
      <c r="U72" s="166">
        <v>17604</v>
      </c>
      <c r="V72" s="166">
        <v>14089</v>
      </c>
      <c r="W72" s="166">
        <v>19078</v>
      </c>
      <c r="X72" s="167">
        <f t="shared" si="34"/>
        <v>0.35410604017318481</v>
      </c>
      <c r="Y72" s="181">
        <f t="shared" si="10"/>
        <v>4.599647783974171</v>
      </c>
      <c r="Z72" s="167">
        <f t="shared" si="29"/>
        <v>4.6609986621207545E-3</v>
      </c>
    </row>
    <row r="73" spans="1:26" x14ac:dyDescent="0.25">
      <c r="A73" s="164" t="s">
        <v>126</v>
      </c>
      <c r="B73" s="165" t="s">
        <v>126</v>
      </c>
      <c r="C73" s="166">
        <v>0</v>
      </c>
      <c r="D73" s="166">
        <v>0</v>
      </c>
      <c r="E73" s="166">
        <v>0</v>
      </c>
      <c r="F73" s="166">
        <v>0</v>
      </c>
      <c r="G73" s="166">
        <v>0</v>
      </c>
      <c r="H73" s="167" t="str">
        <f t="shared" si="30"/>
        <v>-</v>
      </c>
      <c r="I73" s="181" t="str">
        <f t="shared" si="1"/>
        <v>-</v>
      </c>
      <c r="J73" s="167">
        <f t="shared" si="31"/>
        <v>0</v>
      </c>
      <c r="K73" s="166">
        <v>0</v>
      </c>
      <c r="L73" s="166">
        <v>0</v>
      </c>
      <c r="M73" s="166">
        <v>0</v>
      </c>
      <c r="N73" s="166">
        <v>0</v>
      </c>
      <c r="O73" s="166">
        <v>0</v>
      </c>
      <c r="P73" s="167" t="str">
        <f t="shared" si="32"/>
        <v>-</v>
      </c>
      <c r="Q73" s="181" t="str">
        <f t="shared" si="9"/>
        <v>-</v>
      </c>
      <c r="R73" s="167">
        <f t="shared" si="33"/>
        <v>0</v>
      </c>
      <c r="S73" s="166">
        <v>502</v>
      </c>
      <c r="T73" s="166">
        <v>1777</v>
      </c>
      <c r="U73" s="166">
        <v>2468</v>
      </c>
      <c r="V73" s="166">
        <v>3450</v>
      </c>
      <c r="W73" s="166">
        <v>4281</v>
      </c>
      <c r="X73" s="167">
        <f t="shared" si="34"/>
        <v>0.24086956521739133</v>
      </c>
      <c r="Y73" s="181">
        <f t="shared" si="10"/>
        <v>7.5278884462151403</v>
      </c>
      <c r="Z73" s="167">
        <f t="shared" si="29"/>
        <v>6.5345061907032612E-4</v>
      </c>
    </row>
    <row r="74" spans="1:26" x14ac:dyDescent="0.25">
      <c r="A74" s="164" t="s">
        <v>122</v>
      </c>
      <c r="B74" s="165" t="s">
        <v>122</v>
      </c>
      <c r="C74" s="166">
        <v>0</v>
      </c>
      <c r="D74" s="166">
        <v>0</v>
      </c>
      <c r="E74" s="166">
        <v>0</v>
      </c>
      <c r="F74" s="166">
        <v>0</v>
      </c>
      <c r="G74" s="166">
        <v>0</v>
      </c>
      <c r="H74" s="167" t="str">
        <f t="shared" si="30"/>
        <v>-</v>
      </c>
      <c r="I74" s="181" t="str">
        <f t="shared" ref="I74:I137" si="35">IFERROR(G74/C74-1,"-")</f>
        <v>-</v>
      </c>
      <c r="J74" s="167">
        <f t="shared" si="31"/>
        <v>0</v>
      </c>
      <c r="K74" s="166">
        <v>0</v>
      </c>
      <c r="L74" s="166">
        <v>0</v>
      </c>
      <c r="M74" s="166">
        <v>0</v>
      </c>
      <c r="N74" s="166">
        <v>0</v>
      </c>
      <c r="O74" s="166">
        <v>0</v>
      </c>
      <c r="P74" s="167" t="str">
        <f t="shared" si="32"/>
        <v>-</v>
      </c>
      <c r="Q74" s="181" t="str">
        <f t="shared" si="9"/>
        <v>-</v>
      </c>
      <c r="R74" s="167">
        <f t="shared" si="33"/>
        <v>0</v>
      </c>
      <c r="S74" s="166">
        <v>1200</v>
      </c>
      <c r="T74" s="166">
        <v>1607</v>
      </c>
      <c r="U74" s="166">
        <v>2853</v>
      </c>
      <c r="V74" s="166">
        <v>1813</v>
      </c>
      <c r="W74" s="166">
        <v>3870</v>
      </c>
      <c r="X74" s="167">
        <f t="shared" si="34"/>
        <v>1.1345835631549916</v>
      </c>
      <c r="Y74" s="181">
        <f t="shared" si="10"/>
        <v>2.2250000000000001</v>
      </c>
      <c r="Z74" s="167">
        <f t="shared" si="29"/>
        <v>7.5538679749094029E-4</v>
      </c>
    </row>
    <row r="75" spans="1:26" x14ac:dyDescent="0.25">
      <c r="A75" s="164" t="s">
        <v>131</v>
      </c>
      <c r="B75" s="165" t="s">
        <v>131</v>
      </c>
      <c r="C75" s="166">
        <v>0</v>
      </c>
      <c r="D75" s="166">
        <v>0</v>
      </c>
      <c r="E75" s="166">
        <v>0</v>
      </c>
      <c r="F75" s="166">
        <v>0</v>
      </c>
      <c r="G75" s="166">
        <v>0</v>
      </c>
      <c r="H75" s="167" t="str">
        <f t="shared" si="30"/>
        <v>-</v>
      </c>
      <c r="I75" s="181" t="str">
        <f t="shared" si="35"/>
        <v>-</v>
      </c>
      <c r="J75" s="167">
        <f t="shared" si="31"/>
        <v>0</v>
      </c>
      <c r="K75" s="166">
        <v>0</v>
      </c>
      <c r="L75" s="166">
        <v>0</v>
      </c>
      <c r="M75" s="166">
        <v>0</v>
      </c>
      <c r="N75" s="166">
        <v>0</v>
      </c>
      <c r="O75" s="166">
        <v>0</v>
      </c>
      <c r="P75" s="167" t="str">
        <f t="shared" si="32"/>
        <v>-</v>
      </c>
      <c r="Q75" s="181" t="str">
        <f t="shared" si="9"/>
        <v>-</v>
      </c>
      <c r="R75" s="167">
        <f t="shared" si="33"/>
        <v>0</v>
      </c>
      <c r="S75" s="166">
        <v>651</v>
      </c>
      <c r="T75" s="166">
        <v>1674</v>
      </c>
      <c r="U75" s="166">
        <v>2685</v>
      </c>
      <c r="V75" s="166">
        <v>3726</v>
      </c>
      <c r="W75" s="166">
        <v>2300</v>
      </c>
      <c r="X75" s="167">
        <f t="shared" si="34"/>
        <v>-0.38271604938271608</v>
      </c>
      <c r="Y75" s="181">
        <f t="shared" si="10"/>
        <v>2.5330261136712751</v>
      </c>
      <c r="Z75" s="167">
        <f t="shared" si="29"/>
        <v>7.1090555599830866E-4</v>
      </c>
    </row>
    <row r="76" spans="1:26" x14ac:dyDescent="0.25">
      <c r="A76" s="164" t="s">
        <v>134</v>
      </c>
      <c r="B76" s="165" t="s">
        <v>134</v>
      </c>
      <c r="C76" s="166">
        <v>0</v>
      </c>
      <c r="D76" s="166">
        <v>0</v>
      </c>
      <c r="E76" s="166">
        <v>0</v>
      </c>
      <c r="F76" s="166">
        <v>0</v>
      </c>
      <c r="G76" s="166">
        <v>0</v>
      </c>
      <c r="H76" s="167" t="str">
        <f t="shared" si="30"/>
        <v>-</v>
      </c>
      <c r="I76" s="181" t="str">
        <f t="shared" si="35"/>
        <v>-</v>
      </c>
      <c r="J76" s="167">
        <f t="shared" si="31"/>
        <v>0</v>
      </c>
      <c r="K76" s="166">
        <v>0</v>
      </c>
      <c r="L76" s="166">
        <v>0</v>
      </c>
      <c r="M76" s="166">
        <v>0</v>
      </c>
      <c r="N76" s="166">
        <v>0</v>
      </c>
      <c r="O76" s="166">
        <v>0</v>
      </c>
      <c r="P76" s="167" t="str">
        <f t="shared" si="32"/>
        <v>-</v>
      </c>
      <c r="Q76" s="181" t="str">
        <f t="shared" si="9"/>
        <v>-</v>
      </c>
      <c r="R76" s="167">
        <f t="shared" si="33"/>
        <v>0</v>
      </c>
      <c r="S76" s="166">
        <v>907</v>
      </c>
      <c r="T76" s="166">
        <v>154</v>
      </c>
      <c r="U76" s="166">
        <v>799</v>
      </c>
      <c r="V76" s="166">
        <v>1020</v>
      </c>
      <c r="W76" s="166">
        <v>628</v>
      </c>
      <c r="X76" s="167">
        <f t="shared" si="34"/>
        <v>-0.38431372549019605</v>
      </c>
      <c r="Y76" s="181">
        <f t="shared" si="10"/>
        <v>-0.30760749724366043</v>
      </c>
      <c r="Z76" s="167">
        <f t="shared" si="29"/>
        <v>2.1155066638459911E-4</v>
      </c>
    </row>
    <row r="77" spans="1:26" x14ac:dyDescent="0.25">
      <c r="A77" s="169" t="s">
        <v>148</v>
      </c>
      <c r="B77" s="170" t="s">
        <v>148</v>
      </c>
      <c r="C77" s="171">
        <f>C69-SUM(C70:C76)</f>
        <v>0</v>
      </c>
      <c r="D77" s="171">
        <f>D69-SUM(D70:D76)</f>
        <v>0</v>
      </c>
      <c r="E77" s="171">
        <f>E69-SUM(E70:E76)</f>
        <v>0</v>
      </c>
      <c r="F77" s="171">
        <f>F69-SUM(F70:F76)</f>
        <v>0</v>
      </c>
      <c r="G77" s="171">
        <f>G69-SUM(G70:G76)</f>
        <v>0</v>
      </c>
      <c r="H77" s="172" t="str">
        <f t="shared" si="30"/>
        <v>-</v>
      </c>
      <c r="I77" s="182" t="str">
        <f t="shared" si="35"/>
        <v>-</v>
      </c>
      <c r="J77" s="172">
        <f t="shared" si="31"/>
        <v>0</v>
      </c>
      <c r="K77" s="171">
        <f>K69-SUM(K70:K76)</f>
        <v>0</v>
      </c>
      <c r="L77" s="171">
        <f>L69-SUM(L70:L76)</f>
        <v>0</v>
      </c>
      <c r="M77" s="171">
        <f>M69-SUM(M70:M76)</f>
        <v>0</v>
      </c>
      <c r="N77" s="171">
        <f>N69-SUM(N70:N76)</f>
        <v>0</v>
      </c>
      <c r="O77" s="171">
        <f>O69-SUM(O70:O76)</f>
        <v>0</v>
      </c>
      <c r="P77" s="172" t="str">
        <f t="shared" si="32"/>
        <v>-</v>
      </c>
      <c r="Q77" s="182" t="str">
        <f t="shared" si="9"/>
        <v>-</v>
      </c>
      <c r="R77" s="172">
        <f t="shared" si="33"/>
        <v>0</v>
      </c>
      <c r="S77" s="171">
        <f>S69-SUM(S70:S76)</f>
        <v>6533</v>
      </c>
      <c r="T77" s="171">
        <f>T69-SUM(T70:T76)</f>
        <v>13696</v>
      </c>
      <c r="U77" s="171">
        <f>U69-SUM(U70:U76)</f>
        <v>34305</v>
      </c>
      <c r="V77" s="171">
        <f>V69-SUM(V70:V76)</f>
        <v>40175</v>
      </c>
      <c r="W77" s="171">
        <f>W69-SUM(W70:W76)</f>
        <v>47746</v>
      </c>
      <c r="X77" s="172">
        <f t="shared" si="34"/>
        <v>0.1884505289359053</v>
      </c>
      <c r="Y77" s="182">
        <f t="shared" si="10"/>
        <v>6.3084341037808054</v>
      </c>
      <c r="Z77" s="172">
        <f t="shared" si="29"/>
        <v>9.0829106512186134E-3</v>
      </c>
    </row>
    <row r="78" spans="1:26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</row>
    <row r="79" spans="1:26" x14ac:dyDescent="0.25">
      <c r="A79" s="1" t="s">
        <v>0</v>
      </c>
      <c r="B79" s="158" t="s">
        <v>71</v>
      </c>
      <c r="C79" s="178">
        <f>C80+C83</f>
        <v>34055</v>
      </c>
      <c r="D79" s="178">
        <f>D80+D83</f>
        <v>70827</v>
      </c>
      <c r="E79" s="178">
        <f>E80+E83</f>
        <v>98456</v>
      </c>
      <c r="F79" s="178">
        <f>F80+F83</f>
        <v>104893</v>
      </c>
      <c r="G79" s="178">
        <f>G80+G83</f>
        <v>118842</v>
      </c>
      <c r="H79" s="179">
        <f>IFERROR(G79/F79-1,"-")</f>
        <v>0.13298313519491289</v>
      </c>
      <c r="I79" s="179">
        <f t="shared" si="35"/>
        <v>2.4897078255762737</v>
      </c>
      <c r="J79" s="179">
        <f>G79/G$9</f>
        <v>0.15640192143186155</v>
      </c>
      <c r="K79" s="178">
        <f>K80+K83</f>
        <v>143122</v>
      </c>
      <c r="L79" s="178">
        <f>L80+L83</f>
        <v>214429</v>
      </c>
      <c r="M79" s="178">
        <f>M80+M83</f>
        <v>476344</v>
      </c>
      <c r="N79" s="178">
        <f>N80+N83</f>
        <v>550170</v>
      </c>
      <c r="O79" s="178">
        <f>O80+O83</f>
        <v>623703</v>
      </c>
      <c r="P79" s="179">
        <f>IFERROR(O79/N79-1,"-")</f>
        <v>0.13365505207481321</v>
      </c>
      <c r="Q79" s="179">
        <f t="shared" si="9"/>
        <v>3.3578415617445261</v>
      </c>
      <c r="R79" s="179">
        <f>O79/O$9</f>
        <v>0.17705279622561704</v>
      </c>
      <c r="S79" s="178">
        <f>S80+S83</f>
        <v>177177</v>
      </c>
      <c r="T79" s="178">
        <f>T80+T83</f>
        <v>285256</v>
      </c>
      <c r="U79" s="178">
        <f>U80+U83</f>
        <v>574800</v>
      </c>
      <c r="V79" s="178">
        <f>V80+V83</f>
        <v>655063</v>
      </c>
      <c r="W79" s="178">
        <f>W80+W83</f>
        <v>742545</v>
      </c>
      <c r="X79" s="179">
        <f>IFERROR(W79/V79-1,"-")</f>
        <v>0.13354746032061038</v>
      </c>
      <c r="Y79" s="179">
        <f t="shared" si="10"/>
        <v>3.1909785130124115</v>
      </c>
      <c r="Z79" s="179">
        <f t="shared" ref="Z79:Z91" si="36">U79/U$9</f>
        <v>0.15218939053550384</v>
      </c>
    </row>
    <row r="80" spans="1:26" x14ac:dyDescent="0.25">
      <c r="A80" s="1" t="s">
        <v>99</v>
      </c>
      <c r="B80" s="161" t="s">
        <v>100</v>
      </c>
      <c r="C80" s="162">
        <v>15296</v>
      </c>
      <c r="D80" s="162">
        <v>38077</v>
      </c>
      <c r="E80" s="162">
        <v>48839</v>
      </c>
      <c r="F80" s="162">
        <v>50783</v>
      </c>
      <c r="G80" s="162">
        <v>56114</v>
      </c>
      <c r="H80" s="163">
        <f>IFERROR(G80/F80-1,"-")</f>
        <v>0.10497607467065739</v>
      </c>
      <c r="I80" s="180">
        <f t="shared" si="35"/>
        <v>2.6685407949790796</v>
      </c>
      <c r="J80" s="163">
        <f>G80/G$9</f>
        <v>7.3848785944594333E-2</v>
      </c>
      <c r="K80" s="162">
        <v>67449</v>
      </c>
      <c r="L80" s="162">
        <v>109519</v>
      </c>
      <c r="M80" s="162">
        <v>230615</v>
      </c>
      <c r="N80" s="162">
        <v>229750</v>
      </c>
      <c r="O80" s="162">
        <v>243834</v>
      </c>
      <c r="P80" s="163">
        <f>IFERROR(O80/N80-1,"-")</f>
        <v>6.1301414581066416E-2</v>
      </c>
      <c r="Q80" s="180">
        <f t="shared" si="9"/>
        <v>2.6150869545879107</v>
      </c>
      <c r="R80" s="163">
        <f>O80/O$9</f>
        <v>6.9218027674834176E-2</v>
      </c>
      <c r="S80" s="162">
        <v>82745</v>
      </c>
      <c r="T80" s="162">
        <v>147596</v>
      </c>
      <c r="U80" s="162">
        <v>279454</v>
      </c>
      <c r="V80" s="162">
        <v>280533</v>
      </c>
      <c r="W80" s="162">
        <v>299948</v>
      </c>
      <c r="X80" s="163">
        <f>IFERROR(W80/V80-1,"-")</f>
        <v>6.9207544210485139E-2</v>
      </c>
      <c r="Y80" s="180">
        <f t="shared" si="10"/>
        <v>2.6249682760287629</v>
      </c>
      <c r="Z80" s="163">
        <f t="shared" si="36"/>
        <v>7.3990838452868288E-2</v>
      </c>
    </row>
    <row r="81" spans="1:26" x14ac:dyDescent="0.25">
      <c r="A81" s="164" t="s">
        <v>106</v>
      </c>
      <c r="B81" s="165" t="s">
        <v>106</v>
      </c>
      <c r="C81" s="166">
        <v>7696</v>
      </c>
      <c r="D81" s="166">
        <v>24218</v>
      </c>
      <c r="E81" s="166">
        <v>29828</v>
      </c>
      <c r="F81" s="166">
        <v>31545</v>
      </c>
      <c r="G81" s="166">
        <v>30462</v>
      </c>
      <c r="H81" s="167">
        <f>IFERROR(G81/F81-1,"-")</f>
        <v>-3.4331906799809797E-2</v>
      </c>
      <c r="I81" s="181">
        <f t="shared" si="35"/>
        <v>2.9581600831600832</v>
      </c>
      <c r="J81" s="167">
        <f>G81/G$9</f>
        <v>4.0089491346976376E-2</v>
      </c>
      <c r="K81" s="166">
        <v>11781</v>
      </c>
      <c r="L81" s="166">
        <v>24585</v>
      </c>
      <c r="M81" s="166">
        <v>36378</v>
      </c>
      <c r="N81" s="166">
        <v>29406</v>
      </c>
      <c r="O81" s="166">
        <v>41998</v>
      </c>
      <c r="P81" s="167">
        <f>IFERROR(O81/N81-1,"-")</f>
        <v>0.42821192953818943</v>
      </c>
      <c r="Q81" s="181">
        <f t="shared" si="9"/>
        <v>2.5648926237161533</v>
      </c>
      <c r="R81" s="167">
        <f>O81/O$9</f>
        <v>1.1922122125247857E-2</v>
      </c>
      <c r="S81" s="166">
        <v>19477</v>
      </c>
      <c r="T81" s="166">
        <v>48803</v>
      </c>
      <c r="U81" s="166">
        <v>66206</v>
      </c>
      <c r="V81" s="166">
        <v>60951</v>
      </c>
      <c r="W81" s="166">
        <v>72460</v>
      </c>
      <c r="X81" s="167">
        <f>IFERROR(W81/V81-1,"-")</f>
        <v>0.18882380928942921</v>
      </c>
      <c r="Y81" s="181">
        <f t="shared" si="10"/>
        <v>2.7202854649073265</v>
      </c>
      <c r="Z81" s="167">
        <f t="shared" si="36"/>
        <v>1.7529315918221239E-2</v>
      </c>
    </row>
    <row r="82" spans="1:26" x14ac:dyDescent="0.25">
      <c r="A82" s="164" t="s">
        <v>103</v>
      </c>
      <c r="B82" s="165" t="s">
        <v>103</v>
      </c>
      <c r="C82" s="166">
        <v>7600</v>
      </c>
      <c r="D82" s="166">
        <v>13859</v>
      </c>
      <c r="E82" s="166">
        <v>19011</v>
      </c>
      <c r="F82" s="166">
        <v>19238</v>
      </c>
      <c r="G82" s="166">
        <v>25652</v>
      </c>
      <c r="H82" s="167">
        <f>IFERROR(G82/F82-1,"-")</f>
        <v>0.33340264060713176</v>
      </c>
      <c r="I82" s="181">
        <f t="shared" si="35"/>
        <v>2.3752631578947367</v>
      </c>
      <c r="J82" s="167">
        <f>G82/G$9</f>
        <v>3.375929459761795E-2</v>
      </c>
      <c r="K82" s="166">
        <v>55668</v>
      </c>
      <c r="L82" s="166">
        <v>84934</v>
      </c>
      <c r="M82" s="166">
        <v>194237</v>
      </c>
      <c r="N82" s="166">
        <v>200344</v>
      </c>
      <c r="O82" s="166">
        <v>201836</v>
      </c>
      <c r="P82" s="167">
        <f>IFERROR(O82/N82-1,"-")</f>
        <v>7.447190831769257E-3</v>
      </c>
      <c r="Q82" s="181">
        <f t="shared" si="9"/>
        <v>2.6257095638427823</v>
      </c>
      <c r="R82" s="167">
        <f>O82/O$9</f>
        <v>5.7295905549586322E-2</v>
      </c>
      <c r="S82" s="166">
        <v>63268</v>
      </c>
      <c r="T82" s="166">
        <v>98793</v>
      </c>
      <c r="U82" s="166">
        <v>213248</v>
      </c>
      <c r="V82" s="166">
        <v>219582</v>
      </c>
      <c r="W82" s="166">
        <v>227488</v>
      </c>
      <c r="X82" s="167">
        <f>IFERROR(W82/V82-1,"-")</f>
        <v>3.6004772704502086E-2</v>
      </c>
      <c r="Y82" s="181">
        <f t="shared" si="10"/>
        <v>2.5956249604855537</v>
      </c>
      <c r="Z82" s="167">
        <f t="shared" si="36"/>
        <v>5.6461522534647049E-2</v>
      </c>
    </row>
    <row r="83" spans="1:26" x14ac:dyDescent="0.25">
      <c r="A83" s="1" t="s">
        <v>149</v>
      </c>
      <c r="B83" s="161" t="s">
        <v>110</v>
      </c>
      <c r="C83" s="162">
        <v>18759</v>
      </c>
      <c r="D83" s="162">
        <v>32750</v>
      </c>
      <c r="E83" s="162">
        <v>49617</v>
      </c>
      <c r="F83" s="162">
        <v>54110</v>
      </c>
      <c r="G83" s="162">
        <v>62728</v>
      </c>
      <c r="H83" s="163">
        <f>IFERROR(G83/F83-1,"-")</f>
        <v>0.15926815745703204</v>
      </c>
      <c r="I83" s="180">
        <f t="shared" si="35"/>
        <v>2.3438882669651901</v>
      </c>
      <c r="J83" s="163">
        <f>G83/G$9</f>
        <v>8.2553135487267226E-2</v>
      </c>
      <c r="K83" s="162">
        <v>75673</v>
      </c>
      <c r="L83" s="162">
        <v>104910</v>
      </c>
      <c r="M83" s="162">
        <v>245729</v>
      </c>
      <c r="N83" s="162">
        <v>320420</v>
      </c>
      <c r="O83" s="162">
        <v>379869</v>
      </c>
      <c r="P83" s="163">
        <f>IFERROR(O83/N83-1,"-")</f>
        <v>0.18553461082329448</v>
      </c>
      <c r="Q83" s="180">
        <f t="shared" si="9"/>
        <v>4.019874988437091</v>
      </c>
      <c r="R83" s="163">
        <f>O83/O$9</f>
        <v>0.10783476855078285</v>
      </c>
      <c r="S83" s="162">
        <v>94432</v>
      </c>
      <c r="T83" s="162">
        <v>137660</v>
      </c>
      <c r="U83" s="162">
        <v>295346</v>
      </c>
      <c r="V83" s="162">
        <v>374530</v>
      </c>
      <c r="W83" s="162">
        <v>442597</v>
      </c>
      <c r="X83" s="163">
        <f>IFERROR(W83/V83-1,"-")</f>
        <v>0.18173978052492457</v>
      </c>
      <c r="Y83" s="180">
        <f t="shared" si="10"/>
        <v>3.6869387495764148</v>
      </c>
      <c r="Z83" s="163">
        <f t="shared" si="36"/>
        <v>7.8198552082635556E-2</v>
      </c>
    </row>
    <row r="84" spans="1:26" x14ac:dyDescent="0.25">
      <c r="A84" s="164" t="s">
        <v>113</v>
      </c>
      <c r="B84" s="165" t="s">
        <v>113</v>
      </c>
      <c r="C84" s="166">
        <v>2578</v>
      </c>
      <c r="D84" s="166">
        <v>3228</v>
      </c>
      <c r="E84" s="166">
        <v>5828</v>
      </c>
      <c r="F84" s="166">
        <v>7066</v>
      </c>
      <c r="G84" s="166">
        <v>9146</v>
      </c>
      <c r="H84" s="167">
        <f t="shared" ref="H84:H91" si="37">IFERROR(G84/F84-1,"-")</f>
        <v>0.29436739315029725</v>
      </c>
      <c r="I84" s="181">
        <f t="shared" si="35"/>
        <v>2.5477114041892941</v>
      </c>
      <c r="J84" s="167">
        <f t="shared" ref="J84:J91" si="38">G84/G$9</f>
        <v>1.2036586168322694E-2</v>
      </c>
      <c r="K84" s="166">
        <v>15879</v>
      </c>
      <c r="L84" s="166">
        <v>11210</v>
      </c>
      <c r="M84" s="166">
        <v>56300</v>
      </c>
      <c r="N84" s="166">
        <v>75623</v>
      </c>
      <c r="O84" s="166">
        <v>87361</v>
      </c>
      <c r="P84" s="167">
        <f t="shared" ref="P84:P91" si="39">IFERROR(O84/N84-1,"-")</f>
        <v>0.15521732806156852</v>
      </c>
      <c r="Q84" s="181">
        <f t="shared" si="9"/>
        <v>4.5016688708356947</v>
      </c>
      <c r="R84" s="167">
        <f t="shared" ref="R84:R91" si="40">O84/O$9</f>
        <v>2.4799478808128435E-2</v>
      </c>
      <c r="S84" s="166">
        <v>18457</v>
      </c>
      <c r="T84" s="166">
        <v>14438</v>
      </c>
      <c r="U84" s="166">
        <v>62128</v>
      </c>
      <c r="V84" s="166">
        <v>82689</v>
      </c>
      <c r="W84" s="166">
        <v>96507</v>
      </c>
      <c r="X84" s="167">
        <f t="shared" ref="X84:X91" si="41">IFERROR(W84/V84-1,"-")</f>
        <v>0.16710807967202412</v>
      </c>
      <c r="Y84" s="181">
        <f t="shared" si="10"/>
        <v>4.2287479005255459</v>
      </c>
      <c r="Z84" s="167">
        <f t="shared" si="36"/>
        <v>1.6449586734846526E-2</v>
      </c>
    </row>
    <row r="85" spans="1:26" x14ac:dyDescent="0.25">
      <c r="A85" s="164" t="s">
        <v>116</v>
      </c>
      <c r="B85" s="165" t="s">
        <v>116</v>
      </c>
      <c r="C85" s="166">
        <v>5409</v>
      </c>
      <c r="D85" s="166">
        <v>8563</v>
      </c>
      <c r="E85" s="166">
        <v>13220</v>
      </c>
      <c r="F85" s="166">
        <v>14970</v>
      </c>
      <c r="G85" s="166">
        <v>15604</v>
      </c>
      <c r="H85" s="167">
        <f t="shared" si="37"/>
        <v>4.2351369405477568E-2</v>
      </c>
      <c r="I85" s="181">
        <f t="shared" si="35"/>
        <v>1.8848215936402291</v>
      </c>
      <c r="J85" s="167">
        <f t="shared" si="38"/>
        <v>2.0535632032638022E-2</v>
      </c>
      <c r="K85" s="166">
        <v>27251</v>
      </c>
      <c r="L85" s="166">
        <v>36097</v>
      </c>
      <c r="M85" s="166">
        <v>84214</v>
      </c>
      <c r="N85" s="166">
        <v>97137</v>
      </c>
      <c r="O85" s="166">
        <v>107979</v>
      </c>
      <c r="P85" s="167">
        <f t="shared" si="39"/>
        <v>0.11161555329071304</v>
      </c>
      <c r="Q85" s="181">
        <f t="shared" si="9"/>
        <v>2.9623867014054528</v>
      </c>
      <c r="R85" s="167">
        <f t="shared" si="40"/>
        <v>3.0652384041195732E-2</v>
      </c>
      <c r="S85" s="166">
        <v>32660</v>
      </c>
      <c r="T85" s="166">
        <v>44660</v>
      </c>
      <c r="U85" s="166">
        <v>97434</v>
      </c>
      <c r="V85" s="166">
        <v>112107</v>
      </c>
      <c r="W85" s="166">
        <v>123583</v>
      </c>
      <c r="X85" s="167">
        <f t="shared" si="41"/>
        <v>0.10236648915767965</v>
      </c>
      <c r="Y85" s="181">
        <f t="shared" si="10"/>
        <v>2.7839252908756889</v>
      </c>
      <c r="Z85" s="167">
        <f t="shared" si="36"/>
        <v>2.5797531449958735E-2</v>
      </c>
    </row>
    <row r="86" spans="1:26" x14ac:dyDescent="0.25">
      <c r="A86" s="164" t="s">
        <v>119</v>
      </c>
      <c r="B86" s="165" t="s">
        <v>119</v>
      </c>
      <c r="C86" s="166">
        <v>1714</v>
      </c>
      <c r="D86" s="166">
        <v>5280</v>
      </c>
      <c r="E86" s="166">
        <v>5870</v>
      </c>
      <c r="F86" s="166">
        <v>5310</v>
      </c>
      <c r="G86" s="166">
        <v>6020</v>
      </c>
      <c r="H86" s="167">
        <f t="shared" si="37"/>
        <v>0.13370998116760835</v>
      </c>
      <c r="I86" s="181">
        <f t="shared" si="35"/>
        <v>2.5122520420070011</v>
      </c>
      <c r="J86" s="167">
        <f t="shared" si="38"/>
        <v>7.9226163058498389E-3</v>
      </c>
      <c r="K86" s="166">
        <v>5151</v>
      </c>
      <c r="L86" s="166">
        <v>11108</v>
      </c>
      <c r="M86" s="166">
        <v>20133</v>
      </c>
      <c r="N86" s="166">
        <v>32432</v>
      </c>
      <c r="O86" s="166">
        <v>46149</v>
      </c>
      <c r="P86" s="167">
        <f t="shared" si="39"/>
        <v>0.42294647261963503</v>
      </c>
      <c r="Q86" s="181">
        <f t="shared" si="9"/>
        <v>7.9592312172393704</v>
      </c>
      <c r="R86" s="167">
        <f t="shared" si="40"/>
        <v>1.3100481307635206E-2</v>
      </c>
      <c r="S86" s="166">
        <v>6865</v>
      </c>
      <c r="T86" s="166">
        <v>16388</v>
      </c>
      <c r="U86" s="166">
        <v>26003</v>
      </c>
      <c r="V86" s="166">
        <v>37742</v>
      </c>
      <c r="W86" s="166">
        <v>52169</v>
      </c>
      <c r="X86" s="167">
        <f t="shared" si="41"/>
        <v>0.38225319272958513</v>
      </c>
      <c r="Y86" s="181">
        <f t="shared" si="10"/>
        <v>6.5992716678805534</v>
      </c>
      <c r="Z86" s="167">
        <f t="shared" si="36"/>
        <v>6.8847959674577354E-3</v>
      </c>
    </row>
    <row r="87" spans="1:26" x14ac:dyDescent="0.25">
      <c r="A87" s="164" t="s">
        <v>126</v>
      </c>
      <c r="B87" s="165" t="s">
        <v>126</v>
      </c>
      <c r="C87" s="166">
        <v>286</v>
      </c>
      <c r="D87" s="166">
        <v>921</v>
      </c>
      <c r="E87" s="166">
        <v>1133</v>
      </c>
      <c r="F87" s="166">
        <v>1155</v>
      </c>
      <c r="G87" s="166">
        <v>1481</v>
      </c>
      <c r="H87" s="167">
        <f t="shared" si="37"/>
        <v>0.2822510822510822</v>
      </c>
      <c r="I87" s="181">
        <f t="shared" si="35"/>
        <v>4.1783216783216783</v>
      </c>
      <c r="J87" s="167">
        <f t="shared" si="38"/>
        <v>1.9490688951766795E-3</v>
      </c>
      <c r="K87" s="166">
        <v>1248</v>
      </c>
      <c r="L87" s="166">
        <v>2935</v>
      </c>
      <c r="M87" s="166">
        <v>4473</v>
      </c>
      <c r="N87" s="166">
        <v>6846</v>
      </c>
      <c r="O87" s="166">
        <v>11371</v>
      </c>
      <c r="P87" s="167">
        <f t="shared" si="39"/>
        <v>0.66096990943616718</v>
      </c>
      <c r="Q87" s="181">
        <f t="shared" ref="Q87:Q150" si="42">IFERROR(O87/K87-1,"-")</f>
        <v>8.1113782051282044</v>
      </c>
      <c r="R87" s="167">
        <f t="shared" si="40"/>
        <v>3.2279263461639455E-3</v>
      </c>
      <c r="S87" s="166">
        <v>1534</v>
      </c>
      <c r="T87" s="166">
        <v>3856</v>
      </c>
      <c r="U87" s="166">
        <v>5606</v>
      </c>
      <c r="V87" s="166">
        <v>8001</v>
      </c>
      <c r="W87" s="166">
        <v>12852</v>
      </c>
      <c r="X87" s="167">
        <f t="shared" si="41"/>
        <v>0.60629921259842523</v>
      </c>
      <c r="Y87" s="181">
        <f t="shared" ref="Y87:Y150" si="43">IFERROR(W87/S87-1,"-")</f>
        <v>7.3780964797913953</v>
      </c>
      <c r="Z87" s="167">
        <f t="shared" si="36"/>
        <v>1.4842966655219808E-3</v>
      </c>
    </row>
    <row r="88" spans="1:26" x14ac:dyDescent="0.25">
      <c r="A88" s="164" t="s">
        <v>122</v>
      </c>
      <c r="B88" s="165" t="s">
        <v>122</v>
      </c>
      <c r="C88" s="166">
        <v>240</v>
      </c>
      <c r="D88" s="166">
        <v>804</v>
      </c>
      <c r="E88" s="166">
        <v>921</v>
      </c>
      <c r="F88" s="166">
        <v>774</v>
      </c>
      <c r="G88" s="166">
        <v>909</v>
      </c>
      <c r="H88" s="167">
        <f t="shared" si="37"/>
        <v>0.17441860465116288</v>
      </c>
      <c r="I88" s="181">
        <f t="shared" si="35"/>
        <v>2.7875000000000001</v>
      </c>
      <c r="J88" s="167">
        <f t="shared" si="38"/>
        <v>1.1962887411989208E-3</v>
      </c>
      <c r="K88" s="166">
        <v>1576</v>
      </c>
      <c r="L88" s="166">
        <v>3904</v>
      </c>
      <c r="M88" s="166">
        <v>4162</v>
      </c>
      <c r="N88" s="166">
        <v>5572</v>
      </c>
      <c r="O88" s="166">
        <v>7126</v>
      </c>
      <c r="P88" s="167">
        <f t="shared" si="39"/>
        <v>0.27889447236180898</v>
      </c>
      <c r="Q88" s="181">
        <f t="shared" si="42"/>
        <v>3.5215736040609134</v>
      </c>
      <c r="R88" s="167">
        <f t="shared" si="40"/>
        <v>2.0228830483479269E-3</v>
      </c>
      <c r="S88" s="166">
        <v>1816</v>
      </c>
      <c r="T88" s="166">
        <v>4708</v>
      </c>
      <c r="U88" s="166">
        <v>5083</v>
      </c>
      <c r="V88" s="166">
        <v>6346</v>
      </c>
      <c r="W88" s="166">
        <v>8035</v>
      </c>
      <c r="X88" s="167">
        <f t="shared" si="41"/>
        <v>0.26615190671288991</v>
      </c>
      <c r="Y88" s="181">
        <f t="shared" si="43"/>
        <v>3.4245594713656384</v>
      </c>
      <c r="Z88" s="167">
        <f t="shared" si="36"/>
        <v>1.345822324446705E-3</v>
      </c>
    </row>
    <row r="89" spans="1:26" x14ac:dyDescent="0.25">
      <c r="A89" s="164" t="s">
        <v>131</v>
      </c>
      <c r="B89" s="165" t="s">
        <v>131</v>
      </c>
      <c r="C89" s="166">
        <v>286</v>
      </c>
      <c r="D89" s="166">
        <v>296</v>
      </c>
      <c r="E89" s="166">
        <v>433</v>
      </c>
      <c r="F89" s="166">
        <v>451</v>
      </c>
      <c r="G89" s="166">
        <v>500</v>
      </c>
      <c r="H89" s="167">
        <f t="shared" si="37"/>
        <v>0.10864745011086474</v>
      </c>
      <c r="I89" s="181">
        <f t="shared" si="35"/>
        <v>0.74825174825174834</v>
      </c>
      <c r="J89" s="167">
        <f t="shared" si="38"/>
        <v>6.5802461012041849E-4</v>
      </c>
      <c r="K89" s="166">
        <v>1422</v>
      </c>
      <c r="L89" s="166">
        <v>781</v>
      </c>
      <c r="M89" s="166">
        <v>2952</v>
      </c>
      <c r="N89" s="166">
        <v>3352</v>
      </c>
      <c r="O89" s="166">
        <v>3068</v>
      </c>
      <c r="P89" s="167">
        <f t="shared" si="39"/>
        <v>-8.4725536992840134E-2</v>
      </c>
      <c r="Q89" s="181">
        <f t="shared" si="42"/>
        <v>1.1575246132208159</v>
      </c>
      <c r="R89" s="167">
        <f t="shared" si="40"/>
        <v>8.7092410782085871E-4</v>
      </c>
      <c r="S89" s="166">
        <v>1708</v>
      </c>
      <c r="T89" s="166">
        <v>1077</v>
      </c>
      <c r="U89" s="166">
        <v>3385</v>
      </c>
      <c r="V89" s="166">
        <v>3803</v>
      </c>
      <c r="W89" s="166">
        <v>3568</v>
      </c>
      <c r="X89" s="167">
        <f t="shared" si="41"/>
        <v>-6.1793321062319273E-2</v>
      </c>
      <c r="Y89" s="181">
        <f t="shared" si="43"/>
        <v>1.088992974238876</v>
      </c>
      <c r="Z89" s="167">
        <f t="shared" si="36"/>
        <v>8.9624406221760697E-4</v>
      </c>
    </row>
    <row r="90" spans="1:26" x14ac:dyDescent="0.25">
      <c r="A90" s="164" t="s">
        <v>134</v>
      </c>
      <c r="B90" s="165" t="s">
        <v>134</v>
      </c>
      <c r="C90" s="166">
        <v>408</v>
      </c>
      <c r="D90" s="166">
        <v>385</v>
      </c>
      <c r="E90" s="166">
        <v>658</v>
      </c>
      <c r="F90" s="166">
        <v>678</v>
      </c>
      <c r="G90" s="166">
        <v>636</v>
      </c>
      <c r="H90" s="167">
        <f t="shared" si="37"/>
        <v>-6.1946902654867242E-2</v>
      </c>
      <c r="I90" s="181">
        <f t="shared" si="35"/>
        <v>0.55882352941176472</v>
      </c>
      <c r="J90" s="167">
        <f t="shared" si="38"/>
        <v>8.3700730407317231E-4</v>
      </c>
      <c r="K90" s="166">
        <v>1922</v>
      </c>
      <c r="L90" s="166">
        <v>947</v>
      </c>
      <c r="M90" s="166">
        <v>3040</v>
      </c>
      <c r="N90" s="166">
        <v>3739</v>
      </c>
      <c r="O90" s="166">
        <v>4092</v>
      </c>
      <c r="P90" s="167">
        <f t="shared" si="39"/>
        <v>9.4410270125702134E-2</v>
      </c>
      <c r="Q90" s="181">
        <f t="shared" si="42"/>
        <v>1.129032258064516</v>
      </c>
      <c r="R90" s="167">
        <f t="shared" si="40"/>
        <v>1.1616106418523319E-3</v>
      </c>
      <c r="S90" s="166">
        <v>2330</v>
      </c>
      <c r="T90" s="166">
        <v>1332</v>
      </c>
      <c r="U90" s="166">
        <v>3698</v>
      </c>
      <c r="V90" s="166">
        <v>4417</v>
      </c>
      <c r="W90" s="166">
        <v>4728</v>
      </c>
      <c r="X90" s="167">
        <f t="shared" si="41"/>
        <v>7.0409780393932531E-2</v>
      </c>
      <c r="Y90" s="181">
        <f t="shared" si="43"/>
        <v>1.0291845493562231</v>
      </c>
      <c r="Z90" s="167">
        <f t="shared" si="36"/>
        <v>9.7911685142709325E-4</v>
      </c>
    </row>
    <row r="91" spans="1:26" x14ac:dyDescent="0.25">
      <c r="A91" s="169" t="s">
        <v>148</v>
      </c>
      <c r="B91" s="170" t="s">
        <v>148</v>
      </c>
      <c r="C91" s="171">
        <f>C83-SUM(C84:C90)</f>
        <v>7838</v>
      </c>
      <c r="D91" s="171">
        <f>D83-SUM(D84:D90)</f>
        <v>13273</v>
      </c>
      <c r="E91" s="171">
        <f>E83-SUM(E84:E90)</f>
        <v>21554</v>
      </c>
      <c r="F91" s="171">
        <f>F83-SUM(F84:F90)</f>
        <v>23706</v>
      </c>
      <c r="G91" s="171">
        <f>G83-SUM(G84:G90)</f>
        <v>28432</v>
      </c>
      <c r="H91" s="172">
        <f t="shared" si="37"/>
        <v>0.19935881211507644</v>
      </c>
      <c r="I91" s="182">
        <f t="shared" si="35"/>
        <v>2.6274559836693032</v>
      </c>
      <c r="J91" s="172">
        <f t="shared" si="38"/>
        <v>3.7417911429887478E-2</v>
      </c>
      <c r="K91" s="171">
        <f>K83-SUM(K84:K90)</f>
        <v>21224</v>
      </c>
      <c r="L91" s="171">
        <f>L83-SUM(L84:L90)</f>
        <v>37928</v>
      </c>
      <c r="M91" s="171">
        <f>M83-SUM(M84:M90)</f>
        <v>70455</v>
      </c>
      <c r="N91" s="171">
        <f>N83-SUM(N84:N90)</f>
        <v>95719</v>
      </c>
      <c r="O91" s="171">
        <f>O83-SUM(O84:O90)</f>
        <v>112723</v>
      </c>
      <c r="P91" s="172">
        <f t="shared" si="39"/>
        <v>0.17764498166508225</v>
      </c>
      <c r="Q91" s="182">
        <f t="shared" si="42"/>
        <v>4.3111100640784015</v>
      </c>
      <c r="R91" s="172">
        <f t="shared" si="40"/>
        <v>3.1999080249638413E-2</v>
      </c>
      <c r="S91" s="171">
        <f>S83-SUM(S84:S90)</f>
        <v>29062</v>
      </c>
      <c r="T91" s="171">
        <f>T83-SUM(T84:T90)</f>
        <v>51201</v>
      </c>
      <c r="U91" s="171">
        <f>U83-SUM(U84:U90)</f>
        <v>92009</v>
      </c>
      <c r="V91" s="171">
        <f>V83-SUM(V84:V90)</f>
        <v>119425</v>
      </c>
      <c r="W91" s="171">
        <f>W83-SUM(W84:W90)</f>
        <v>141155</v>
      </c>
      <c r="X91" s="172">
        <f t="shared" si="41"/>
        <v>0.18195520200962956</v>
      </c>
      <c r="Y91" s="182">
        <f t="shared" si="43"/>
        <v>3.857029798362122</v>
      </c>
      <c r="Z91" s="172">
        <f t="shared" si="36"/>
        <v>2.4361158026759172E-2</v>
      </c>
    </row>
    <row r="92" spans="1:26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</row>
    <row r="93" spans="1:26" x14ac:dyDescent="0.25">
      <c r="A93" s="1" t="s">
        <v>0</v>
      </c>
      <c r="B93" s="158" t="s">
        <v>71</v>
      </c>
      <c r="C93" s="178">
        <f>C94+C97</f>
        <v>0</v>
      </c>
      <c r="D93" s="178">
        <f>D94+D97</f>
        <v>0</v>
      </c>
      <c r="E93" s="178">
        <f>E94+E97</f>
        <v>5131</v>
      </c>
      <c r="F93" s="178">
        <f>F94+F97</f>
        <v>7607</v>
      </c>
      <c r="G93" s="178">
        <f>G94+G97</f>
        <v>7923</v>
      </c>
      <c r="H93" s="179">
        <f>IFERROR(G93/F93-1,"-")</f>
        <v>4.1540686210069566E-2</v>
      </c>
      <c r="I93" s="179" t="str">
        <f t="shared" si="35"/>
        <v>-</v>
      </c>
      <c r="J93" s="179">
        <f>G93/G$9</f>
        <v>1.0427057971968152E-2</v>
      </c>
      <c r="K93" s="178">
        <f>K94+K97</f>
        <v>0</v>
      </c>
      <c r="L93" s="178">
        <f>L94+L97</f>
        <v>0</v>
      </c>
      <c r="M93" s="178">
        <f>M94+M97</f>
        <v>46354</v>
      </c>
      <c r="N93" s="178">
        <f>N94+N97</f>
        <v>50550</v>
      </c>
      <c r="O93" s="178">
        <f>O94+O97</f>
        <v>49465</v>
      </c>
      <c r="P93" s="179">
        <f>IFERROR(O93/N93-1,"-")</f>
        <v>-2.1463897131552945E-2</v>
      </c>
      <c r="Q93" s="179" t="str">
        <f t="shared" si="42"/>
        <v>-</v>
      </c>
      <c r="R93" s="179">
        <f>O93/O$9</f>
        <v>1.4041806060416811E-2</v>
      </c>
      <c r="S93" s="178">
        <f>S94+S97</f>
        <v>24221</v>
      </c>
      <c r="T93" s="178">
        <f>T94+T97</f>
        <v>33444</v>
      </c>
      <c r="U93" s="178">
        <f>U94+U97</f>
        <v>51485</v>
      </c>
      <c r="V93" s="178">
        <f>V94+V97</f>
        <v>58157</v>
      </c>
      <c r="W93" s="178">
        <f>W94+W97</f>
        <v>57388</v>
      </c>
      <c r="X93" s="179">
        <f>IFERROR(W93/V93-1,"-")</f>
        <v>-1.3222827862510056E-2</v>
      </c>
      <c r="Y93" s="179">
        <f t="shared" si="43"/>
        <v>1.3693489121010693</v>
      </c>
      <c r="Z93" s="179">
        <f t="shared" ref="Z93:Z105" si="44">U93/U$9</f>
        <v>1.3631647132429394E-2</v>
      </c>
    </row>
    <row r="94" spans="1:26" x14ac:dyDescent="0.25">
      <c r="A94" s="1" t="s">
        <v>99</v>
      </c>
      <c r="B94" s="161" t="s">
        <v>100</v>
      </c>
      <c r="C94" s="162">
        <v>0</v>
      </c>
      <c r="D94" s="162">
        <v>0</v>
      </c>
      <c r="E94" s="162">
        <v>3937</v>
      </c>
      <c r="F94" s="162">
        <v>5346</v>
      </c>
      <c r="G94" s="162">
        <v>5742</v>
      </c>
      <c r="H94" s="163">
        <f>IFERROR(G94/F94-1,"-")</f>
        <v>7.4074074074074181E-2</v>
      </c>
      <c r="I94" s="180" t="str">
        <f t="shared" si="35"/>
        <v>-</v>
      </c>
      <c r="J94" s="163">
        <f>G94/G$9</f>
        <v>7.5567546226228861E-3</v>
      </c>
      <c r="K94" s="162">
        <v>0</v>
      </c>
      <c r="L94" s="162">
        <v>0</v>
      </c>
      <c r="M94" s="162">
        <v>29872</v>
      </c>
      <c r="N94" s="162">
        <v>32376</v>
      </c>
      <c r="O94" s="162">
        <v>30079</v>
      </c>
      <c r="P94" s="163">
        <f>IFERROR(O94/N94-1,"-")</f>
        <v>-7.0947615517667373E-2</v>
      </c>
      <c r="Q94" s="180" t="str">
        <f t="shared" si="42"/>
        <v>-</v>
      </c>
      <c r="R94" s="163">
        <f>O94/O$9</f>
        <v>8.5386330636061311E-3</v>
      </c>
      <c r="S94" s="162">
        <v>16023</v>
      </c>
      <c r="T94" s="162">
        <v>21732</v>
      </c>
      <c r="U94" s="162">
        <v>33809</v>
      </c>
      <c r="V94" s="162">
        <v>37722</v>
      </c>
      <c r="W94" s="162">
        <v>35821</v>
      </c>
      <c r="X94" s="163">
        <f>IFERROR(W94/V94-1,"-")</f>
        <v>-5.0394994963151474E-2</v>
      </c>
      <c r="Y94" s="180">
        <f t="shared" si="43"/>
        <v>1.2355988266866378</v>
      </c>
      <c r="Z94" s="163">
        <f t="shared" si="44"/>
        <v>8.9515850810975104E-3</v>
      </c>
    </row>
    <row r="95" spans="1:26" x14ac:dyDescent="0.25">
      <c r="A95" s="164" t="s">
        <v>106</v>
      </c>
      <c r="B95" s="165" t="s">
        <v>106</v>
      </c>
      <c r="C95" s="166">
        <v>0</v>
      </c>
      <c r="D95" s="166">
        <v>0</v>
      </c>
      <c r="E95" s="166">
        <v>2928</v>
      </c>
      <c r="F95" s="166">
        <v>3814</v>
      </c>
      <c r="G95" s="166">
        <v>4202</v>
      </c>
      <c r="H95" s="167">
        <f>IFERROR(G95/F95-1,"-")</f>
        <v>0.10173046670162567</v>
      </c>
      <c r="I95" s="181" t="str">
        <f t="shared" si="35"/>
        <v>-</v>
      </c>
      <c r="J95" s="167">
        <f>G95/G$9</f>
        <v>5.5300388234519968E-3</v>
      </c>
      <c r="K95" s="166">
        <v>0</v>
      </c>
      <c r="L95" s="166">
        <v>0</v>
      </c>
      <c r="M95" s="166">
        <v>13361</v>
      </c>
      <c r="N95" s="166">
        <v>8210</v>
      </c>
      <c r="O95" s="166">
        <v>7675</v>
      </c>
      <c r="P95" s="167">
        <f>IFERROR(O95/N95-1,"-")</f>
        <v>-6.5164433617539541E-2</v>
      </c>
      <c r="Q95" s="181" t="str">
        <f t="shared" si="42"/>
        <v>-</v>
      </c>
      <c r="R95" s="167">
        <f>O95/O$9</f>
        <v>2.1787296373940975E-3</v>
      </c>
      <c r="S95" s="166">
        <v>8684</v>
      </c>
      <c r="T95" s="166">
        <v>11001</v>
      </c>
      <c r="U95" s="166">
        <v>16289</v>
      </c>
      <c r="V95" s="166">
        <v>12024</v>
      </c>
      <c r="W95" s="166">
        <v>11877</v>
      </c>
      <c r="X95" s="167">
        <f>IFERROR(W95/V95-1,"-")</f>
        <v>-1.2225548902195627E-2</v>
      </c>
      <c r="Y95" s="181">
        <f t="shared" si="43"/>
        <v>0.36768770152003682</v>
      </c>
      <c r="Z95" s="167">
        <f t="shared" si="44"/>
        <v>4.3128270397230729E-3</v>
      </c>
    </row>
    <row r="96" spans="1:26" x14ac:dyDescent="0.25">
      <c r="A96" s="164" t="s">
        <v>103</v>
      </c>
      <c r="B96" s="165" t="s">
        <v>103</v>
      </c>
      <c r="C96" s="166">
        <v>0</v>
      </c>
      <c r="D96" s="166">
        <v>0</v>
      </c>
      <c r="E96" s="166">
        <v>1009</v>
      </c>
      <c r="F96" s="166">
        <v>1532</v>
      </c>
      <c r="G96" s="166">
        <v>1540</v>
      </c>
      <c r="H96" s="167">
        <f>IFERROR(G96/F96-1,"-")</f>
        <v>5.2219321148825326E-3</v>
      </c>
      <c r="I96" s="181" t="str">
        <f t="shared" si="35"/>
        <v>-</v>
      </c>
      <c r="J96" s="167">
        <f>G96/G$9</f>
        <v>2.0267157991708889E-3</v>
      </c>
      <c r="K96" s="166">
        <v>0</v>
      </c>
      <c r="L96" s="166">
        <v>0</v>
      </c>
      <c r="M96" s="166">
        <v>16511</v>
      </c>
      <c r="N96" s="166">
        <v>24166</v>
      </c>
      <c r="O96" s="166">
        <v>22404</v>
      </c>
      <c r="P96" s="167">
        <f>IFERROR(O96/N96-1,"-")</f>
        <v>-7.2912356202929685E-2</v>
      </c>
      <c r="Q96" s="181" t="str">
        <f t="shared" si="42"/>
        <v>-</v>
      </c>
      <c r="R96" s="167">
        <f>O96/O$9</f>
        <v>6.3599034262120336E-3</v>
      </c>
      <c r="S96" s="166">
        <v>7339</v>
      </c>
      <c r="T96" s="166">
        <v>10731</v>
      </c>
      <c r="U96" s="166">
        <v>17520</v>
      </c>
      <c r="V96" s="166">
        <v>25698</v>
      </c>
      <c r="W96" s="166">
        <v>23944</v>
      </c>
      <c r="X96" s="167">
        <f>IFERROR(W96/V96-1,"-")</f>
        <v>-6.8254338859055186E-2</v>
      </c>
      <c r="Y96" s="181">
        <f t="shared" si="43"/>
        <v>2.2625698324022347</v>
      </c>
      <c r="Z96" s="167">
        <f t="shared" si="44"/>
        <v>4.6387580413744384E-3</v>
      </c>
    </row>
    <row r="97" spans="1:26" x14ac:dyDescent="0.25">
      <c r="A97" s="1" t="s">
        <v>149</v>
      </c>
      <c r="B97" s="161" t="s">
        <v>110</v>
      </c>
      <c r="C97" s="162">
        <v>0</v>
      </c>
      <c r="D97" s="162">
        <v>0</v>
      </c>
      <c r="E97" s="162">
        <v>1194</v>
      </c>
      <c r="F97" s="162">
        <v>2261</v>
      </c>
      <c r="G97" s="162">
        <v>2181</v>
      </c>
      <c r="H97" s="163">
        <f>IFERROR(G97/F97-1,"-")</f>
        <v>-3.5382574082264528E-2</v>
      </c>
      <c r="I97" s="180" t="str">
        <f t="shared" si="35"/>
        <v>-</v>
      </c>
      <c r="J97" s="163">
        <f>G97/G$9</f>
        <v>2.8703033493452657E-3</v>
      </c>
      <c r="K97" s="162">
        <v>0</v>
      </c>
      <c r="L97" s="162">
        <v>0</v>
      </c>
      <c r="M97" s="162">
        <v>16482</v>
      </c>
      <c r="N97" s="162">
        <v>18174</v>
      </c>
      <c r="O97" s="162">
        <v>19386</v>
      </c>
      <c r="P97" s="163">
        <f>IFERROR(O97/N97-1,"-")</f>
        <v>6.6688676130736146E-2</v>
      </c>
      <c r="Q97" s="180" t="str">
        <f t="shared" si="42"/>
        <v>-</v>
      </c>
      <c r="R97" s="163">
        <f>O97/O$9</f>
        <v>5.5031729968106806E-3</v>
      </c>
      <c r="S97" s="162">
        <v>8198</v>
      </c>
      <c r="T97" s="162">
        <v>11712</v>
      </c>
      <c r="U97" s="162">
        <v>17676</v>
      </c>
      <c r="V97" s="162">
        <v>20435</v>
      </c>
      <c r="W97" s="162">
        <v>21567</v>
      </c>
      <c r="X97" s="163">
        <f>IFERROR(W97/V97-1,"-")</f>
        <v>5.539515537068751E-2</v>
      </c>
      <c r="Y97" s="180">
        <f t="shared" si="43"/>
        <v>1.6307636008782631</v>
      </c>
      <c r="Z97" s="163">
        <f t="shared" si="44"/>
        <v>4.6800620513318819E-3</v>
      </c>
    </row>
    <row r="98" spans="1:26" x14ac:dyDescent="0.25">
      <c r="A98" s="164" t="s">
        <v>113</v>
      </c>
      <c r="B98" s="165" t="s">
        <v>113</v>
      </c>
      <c r="C98" s="166">
        <v>0</v>
      </c>
      <c r="D98" s="166">
        <v>0</v>
      </c>
      <c r="E98" s="166">
        <v>50</v>
      </c>
      <c r="F98" s="166">
        <v>173</v>
      </c>
      <c r="G98" s="166">
        <v>203</v>
      </c>
      <c r="H98" s="167">
        <f t="shared" ref="H98:H105" si="45">IFERROR(G98/F98-1,"-")</f>
        <v>0.17341040462427748</v>
      </c>
      <c r="I98" s="181" t="str">
        <f t="shared" si="35"/>
        <v>-</v>
      </c>
      <c r="J98" s="167">
        <f t="shared" ref="J98:J105" si="46">G98/G$9</f>
        <v>2.6715799170888994E-4</v>
      </c>
      <c r="K98" s="166">
        <v>0</v>
      </c>
      <c r="L98" s="166">
        <v>0</v>
      </c>
      <c r="M98" s="166">
        <v>2353</v>
      </c>
      <c r="N98" s="166">
        <v>2622</v>
      </c>
      <c r="O98" s="166">
        <v>2827</v>
      </c>
      <c r="P98" s="167">
        <f t="shared" ref="P98:P105" si="47">IFERROR(O98/N98-1,"-")</f>
        <v>7.8184591914568946E-2</v>
      </c>
      <c r="Q98" s="181" t="str">
        <f t="shared" si="42"/>
        <v>-</v>
      </c>
      <c r="R98" s="167">
        <f t="shared" ref="R98:R105" si="48">O98/O$9</f>
        <v>8.0251057783884219E-4</v>
      </c>
      <c r="S98" s="166">
        <v>1288</v>
      </c>
      <c r="T98" s="166">
        <v>921</v>
      </c>
      <c r="U98" s="166">
        <v>2403</v>
      </c>
      <c r="V98" s="166">
        <v>2795</v>
      </c>
      <c r="W98" s="166">
        <v>3030</v>
      </c>
      <c r="X98" s="167">
        <f t="shared" ref="X98:X105" si="49">IFERROR(W98/V98-1,"-")</f>
        <v>8.4078711985688726E-2</v>
      </c>
      <c r="Y98" s="181">
        <f t="shared" si="43"/>
        <v>1.3524844720496896</v>
      </c>
      <c r="Z98" s="167">
        <f t="shared" si="44"/>
        <v>6.3624061492139131E-4</v>
      </c>
    </row>
    <row r="99" spans="1:26" x14ac:dyDescent="0.25">
      <c r="A99" s="164" t="s">
        <v>116</v>
      </c>
      <c r="B99" s="165" t="s">
        <v>116</v>
      </c>
      <c r="C99" s="166">
        <v>0</v>
      </c>
      <c r="D99" s="166">
        <v>0</v>
      </c>
      <c r="E99" s="166">
        <v>194</v>
      </c>
      <c r="F99" s="166">
        <v>319</v>
      </c>
      <c r="G99" s="166">
        <v>341</v>
      </c>
      <c r="H99" s="167">
        <f t="shared" si="45"/>
        <v>6.8965517241379226E-2</v>
      </c>
      <c r="I99" s="181" t="str">
        <f t="shared" si="35"/>
        <v>-</v>
      </c>
      <c r="J99" s="167">
        <f t="shared" si="46"/>
        <v>4.4877278410212541E-4</v>
      </c>
      <c r="K99" s="166">
        <v>0</v>
      </c>
      <c r="L99" s="166">
        <v>0</v>
      </c>
      <c r="M99" s="166">
        <v>3288</v>
      </c>
      <c r="N99" s="166">
        <v>3495</v>
      </c>
      <c r="O99" s="166">
        <v>3893</v>
      </c>
      <c r="P99" s="167">
        <f t="shared" si="47"/>
        <v>0.11387696709585127</v>
      </c>
      <c r="Q99" s="181" t="str">
        <f t="shared" si="42"/>
        <v>-</v>
      </c>
      <c r="R99" s="167">
        <f t="shared" si="48"/>
        <v>1.1051198017426999E-3</v>
      </c>
      <c r="S99" s="166">
        <v>1481</v>
      </c>
      <c r="T99" s="166">
        <v>2395</v>
      </c>
      <c r="U99" s="166">
        <v>3482</v>
      </c>
      <c r="V99" s="166">
        <v>3814</v>
      </c>
      <c r="W99" s="166">
        <v>4234</v>
      </c>
      <c r="X99" s="167">
        <f t="shared" si="49"/>
        <v>0.11012060828526482</v>
      </c>
      <c r="Y99" s="181">
        <f t="shared" si="43"/>
        <v>1.8588791357191088</v>
      </c>
      <c r="Z99" s="167">
        <f t="shared" si="44"/>
        <v>9.219266837937098E-4</v>
      </c>
    </row>
    <row r="100" spans="1:26" x14ac:dyDescent="0.25">
      <c r="A100" s="164" t="s">
        <v>119</v>
      </c>
      <c r="B100" s="165" t="s">
        <v>119</v>
      </c>
      <c r="C100" s="166">
        <v>0</v>
      </c>
      <c r="D100" s="166">
        <v>0</v>
      </c>
      <c r="E100" s="166">
        <v>346</v>
      </c>
      <c r="F100" s="166">
        <v>771</v>
      </c>
      <c r="G100" s="166">
        <v>574</v>
      </c>
      <c r="H100" s="167">
        <f t="shared" si="45"/>
        <v>-0.25551232166018156</v>
      </c>
      <c r="I100" s="181" t="str">
        <f t="shared" si="35"/>
        <v>-</v>
      </c>
      <c r="J100" s="167">
        <f t="shared" si="46"/>
        <v>7.554122524182404E-4</v>
      </c>
      <c r="K100" s="166">
        <v>0</v>
      </c>
      <c r="L100" s="166">
        <v>0</v>
      </c>
      <c r="M100" s="166">
        <v>3066</v>
      </c>
      <c r="N100" s="166">
        <v>3114</v>
      </c>
      <c r="O100" s="166">
        <v>3111</v>
      </c>
      <c r="P100" s="167">
        <f t="shared" si="47"/>
        <v>-9.633911368015502E-4</v>
      </c>
      <c r="Q100" s="181" t="str">
        <f t="shared" si="42"/>
        <v>-</v>
      </c>
      <c r="R100" s="167">
        <f t="shared" si="48"/>
        <v>8.831306712616335E-4</v>
      </c>
      <c r="S100" s="166">
        <v>1974</v>
      </c>
      <c r="T100" s="166">
        <v>3541</v>
      </c>
      <c r="U100" s="166">
        <v>3412</v>
      </c>
      <c r="V100" s="166">
        <v>3885</v>
      </c>
      <c r="W100" s="166">
        <v>3685</v>
      </c>
      <c r="X100" s="167">
        <f t="shared" si="49"/>
        <v>-5.1480051480051525E-2</v>
      </c>
      <c r="Y100" s="181">
        <f t="shared" si="43"/>
        <v>0.86676798378926034</v>
      </c>
      <c r="Z100" s="167">
        <f t="shared" si="44"/>
        <v>9.0339283317177998E-4</v>
      </c>
    </row>
    <row r="101" spans="1:26" x14ac:dyDescent="0.25">
      <c r="A101" s="164" t="s">
        <v>126</v>
      </c>
      <c r="B101" s="165" t="s">
        <v>126</v>
      </c>
      <c r="C101" s="166">
        <v>0</v>
      </c>
      <c r="D101" s="166">
        <v>0</v>
      </c>
      <c r="E101" s="166">
        <v>32</v>
      </c>
      <c r="F101" s="166">
        <v>58</v>
      </c>
      <c r="G101" s="166">
        <v>90</v>
      </c>
      <c r="H101" s="167">
        <f t="shared" si="45"/>
        <v>0.55172413793103448</v>
      </c>
      <c r="I101" s="181" t="str">
        <f t="shared" si="35"/>
        <v>-</v>
      </c>
      <c r="J101" s="167">
        <f t="shared" si="46"/>
        <v>1.1844442982167533E-4</v>
      </c>
      <c r="K101" s="166">
        <v>0</v>
      </c>
      <c r="L101" s="166">
        <v>0</v>
      </c>
      <c r="M101" s="166">
        <v>1140</v>
      </c>
      <c r="N101" s="166">
        <v>880</v>
      </c>
      <c r="O101" s="166">
        <v>843</v>
      </c>
      <c r="P101" s="167">
        <f t="shared" si="47"/>
        <v>-4.2045454545454497E-2</v>
      </c>
      <c r="Q101" s="181" t="str">
        <f t="shared" si="42"/>
        <v>-</v>
      </c>
      <c r="R101" s="167">
        <f t="shared" si="48"/>
        <v>2.3930541815286307E-4</v>
      </c>
      <c r="S101" s="166">
        <v>323</v>
      </c>
      <c r="T101" s="166">
        <v>432</v>
      </c>
      <c r="U101" s="166">
        <v>1172</v>
      </c>
      <c r="V101" s="166">
        <v>938</v>
      </c>
      <c r="W101" s="166">
        <v>933</v>
      </c>
      <c r="X101" s="167">
        <f t="shared" si="49"/>
        <v>-5.3304904051172386E-3</v>
      </c>
      <c r="Y101" s="181">
        <f t="shared" si="43"/>
        <v>1.8885448916408669</v>
      </c>
      <c r="Z101" s="167">
        <f t="shared" si="44"/>
        <v>3.1030961327002524E-4</v>
      </c>
    </row>
    <row r="102" spans="1:26" x14ac:dyDescent="0.25">
      <c r="A102" s="164" t="s">
        <v>122</v>
      </c>
      <c r="B102" s="165" t="s">
        <v>122</v>
      </c>
      <c r="C102" s="166">
        <v>0</v>
      </c>
      <c r="D102" s="166">
        <v>0</v>
      </c>
      <c r="E102" s="166">
        <v>15</v>
      </c>
      <c r="F102" s="166">
        <v>87</v>
      </c>
      <c r="G102" s="166">
        <v>64</v>
      </c>
      <c r="H102" s="167">
        <f t="shared" si="45"/>
        <v>-0.26436781609195403</v>
      </c>
      <c r="I102" s="181" t="str">
        <f t="shared" si="35"/>
        <v>-</v>
      </c>
      <c r="J102" s="167">
        <f t="shared" si="46"/>
        <v>8.4227150095413574E-5</v>
      </c>
      <c r="K102" s="166">
        <v>0</v>
      </c>
      <c r="L102" s="166">
        <v>0</v>
      </c>
      <c r="M102" s="166">
        <v>667</v>
      </c>
      <c r="N102" s="166">
        <v>563</v>
      </c>
      <c r="O102" s="166">
        <v>839</v>
      </c>
      <c r="P102" s="167">
        <f t="shared" si="47"/>
        <v>0.49023090586145646</v>
      </c>
      <c r="Q102" s="181" t="str">
        <f t="shared" si="42"/>
        <v>-</v>
      </c>
      <c r="R102" s="167">
        <f t="shared" si="48"/>
        <v>2.3816992387930264E-4</v>
      </c>
      <c r="S102" s="166">
        <v>351</v>
      </c>
      <c r="T102" s="166">
        <v>507</v>
      </c>
      <c r="U102" s="166">
        <v>682</v>
      </c>
      <c r="V102" s="166">
        <v>650</v>
      </c>
      <c r="W102" s="166">
        <v>903</v>
      </c>
      <c r="X102" s="167">
        <f t="shared" si="49"/>
        <v>0.38923076923076927</v>
      </c>
      <c r="Y102" s="181">
        <f t="shared" si="43"/>
        <v>1.5726495726495728</v>
      </c>
      <c r="Z102" s="167">
        <f t="shared" si="44"/>
        <v>1.8057265891651639E-4</v>
      </c>
    </row>
    <row r="103" spans="1:26" x14ac:dyDescent="0.25">
      <c r="A103" s="164" t="s">
        <v>131</v>
      </c>
      <c r="B103" s="165" t="s">
        <v>131</v>
      </c>
      <c r="C103" s="166">
        <v>0</v>
      </c>
      <c r="D103" s="166">
        <v>0</v>
      </c>
      <c r="E103" s="166">
        <v>10</v>
      </c>
      <c r="F103" s="166">
        <v>22</v>
      </c>
      <c r="G103" s="166">
        <v>28</v>
      </c>
      <c r="H103" s="167">
        <f t="shared" si="45"/>
        <v>0.27272727272727271</v>
      </c>
      <c r="I103" s="181" t="str">
        <f t="shared" si="35"/>
        <v>-</v>
      </c>
      <c r="J103" s="167">
        <f t="shared" si="46"/>
        <v>3.6849378166743436E-5</v>
      </c>
      <c r="K103" s="166">
        <v>0</v>
      </c>
      <c r="L103" s="166">
        <v>0</v>
      </c>
      <c r="M103" s="166">
        <v>260</v>
      </c>
      <c r="N103" s="166">
        <v>131</v>
      </c>
      <c r="O103" s="166">
        <v>202</v>
      </c>
      <c r="P103" s="167">
        <f t="shared" si="47"/>
        <v>0.54198473282442738</v>
      </c>
      <c r="Q103" s="181" t="str">
        <f t="shared" si="42"/>
        <v>-</v>
      </c>
      <c r="R103" s="167">
        <f t="shared" si="48"/>
        <v>5.7342460814802306E-5</v>
      </c>
      <c r="S103" s="166">
        <v>124</v>
      </c>
      <c r="T103" s="166">
        <v>105</v>
      </c>
      <c r="U103" s="166">
        <v>270</v>
      </c>
      <c r="V103" s="166">
        <v>153</v>
      </c>
      <c r="W103" s="166">
        <v>230</v>
      </c>
      <c r="X103" s="167">
        <f t="shared" si="49"/>
        <v>0.50326797385620914</v>
      </c>
      <c r="Y103" s="181">
        <f t="shared" si="43"/>
        <v>0.85483870967741926</v>
      </c>
      <c r="Z103" s="167">
        <f t="shared" si="44"/>
        <v>7.1487709541729355E-5</v>
      </c>
    </row>
    <row r="104" spans="1:26" x14ac:dyDescent="0.25">
      <c r="A104" s="164" t="s">
        <v>134</v>
      </c>
      <c r="B104" s="165" t="s">
        <v>134</v>
      </c>
      <c r="C104" s="166">
        <v>0</v>
      </c>
      <c r="D104" s="166">
        <v>0</v>
      </c>
      <c r="E104" s="166">
        <v>11</v>
      </c>
      <c r="F104" s="166">
        <v>10</v>
      </c>
      <c r="G104" s="166">
        <v>25</v>
      </c>
      <c r="H104" s="167">
        <f t="shared" si="45"/>
        <v>1.5</v>
      </c>
      <c r="I104" s="181" t="str">
        <f t="shared" si="35"/>
        <v>-</v>
      </c>
      <c r="J104" s="167">
        <f t="shared" si="46"/>
        <v>3.2901230506020923E-5</v>
      </c>
      <c r="K104" s="166">
        <v>0</v>
      </c>
      <c r="L104" s="166">
        <v>0</v>
      </c>
      <c r="M104" s="166">
        <v>157</v>
      </c>
      <c r="N104" s="166">
        <v>260</v>
      </c>
      <c r="O104" s="166">
        <v>359</v>
      </c>
      <c r="P104" s="167">
        <f t="shared" si="47"/>
        <v>0.38076923076923075</v>
      </c>
      <c r="Q104" s="181" t="str">
        <f t="shared" si="42"/>
        <v>-</v>
      </c>
      <c r="R104" s="167">
        <f t="shared" si="48"/>
        <v>1.0191061105204964E-4</v>
      </c>
      <c r="S104" s="166">
        <v>89</v>
      </c>
      <c r="T104" s="166">
        <v>96</v>
      </c>
      <c r="U104" s="166">
        <v>168</v>
      </c>
      <c r="V104" s="166">
        <v>270</v>
      </c>
      <c r="W104" s="166">
        <v>384</v>
      </c>
      <c r="X104" s="167">
        <f t="shared" si="49"/>
        <v>0.42222222222222228</v>
      </c>
      <c r="Y104" s="181">
        <f t="shared" si="43"/>
        <v>3.3146067415730336</v>
      </c>
      <c r="Z104" s="167">
        <f t="shared" si="44"/>
        <v>4.44812414926316E-5</v>
      </c>
    </row>
    <row r="105" spans="1:26" x14ac:dyDescent="0.25">
      <c r="A105" s="169" t="s">
        <v>148</v>
      </c>
      <c r="B105" s="170" t="s">
        <v>148</v>
      </c>
      <c r="C105" s="171">
        <f>C97-SUM(C98:C104)</f>
        <v>0</v>
      </c>
      <c r="D105" s="171">
        <f>D97-SUM(D98:D104)</f>
        <v>0</v>
      </c>
      <c r="E105" s="171">
        <f>E97-SUM(E98:E104)</f>
        <v>536</v>
      </c>
      <c r="F105" s="171">
        <f>F97-SUM(F98:F104)</f>
        <v>821</v>
      </c>
      <c r="G105" s="171">
        <f>G97-SUM(G98:G104)</f>
        <v>856</v>
      </c>
      <c r="H105" s="172">
        <f t="shared" si="45"/>
        <v>4.2630937880633324E-2</v>
      </c>
      <c r="I105" s="182" t="str">
        <f t="shared" si="35"/>
        <v>-</v>
      </c>
      <c r="J105" s="172">
        <f t="shared" si="46"/>
        <v>1.1265381325261566E-3</v>
      </c>
      <c r="K105" s="171">
        <f>K97-SUM(K98:K104)</f>
        <v>0</v>
      </c>
      <c r="L105" s="171">
        <f>L97-SUM(L98:L104)</f>
        <v>0</v>
      </c>
      <c r="M105" s="171">
        <f>M97-SUM(M98:M104)</f>
        <v>5551</v>
      </c>
      <c r="N105" s="171">
        <f>N97-SUM(N98:N104)</f>
        <v>7109</v>
      </c>
      <c r="O105" s="171">
        <f>O97-SUM(O98:O104)</f>
        <v>7312</v>
      </c>
      <c r="P105" s="172">
        <f t="shared" si="47"/>
        <v>2.8555352370234877E-2</v>
      </c>
      <c r="Q105" s="182" t="str">
        <f t="shared" si="42"/>
        <v>-</v>
      </c>
      <c r="R105" s="172">
        <f t="shared" si="48"/>
        <v>2.0756835320684874E-3</v>
      </c>
      <c r="S105" s="171">
        <f>S97-SUM(S98:S104)</f>
        <v>2568</v>
      </c>
      <c r="T105" s="171">
        <f>T97-SUM(T98:T104)</f>
        <v>3715</v>
      </c>
      <c r="U105" s="171">
        <f>U97-SUM(U98:U104)</f>
        <v>6087</v>
      </c>
      <c r="V105" s="171">
        <f>V97-SUM(V98:V104)</f>
        <v>7930</v>
      </c>
      <c r="W105" s="171">
        <f>W97-SUM(W98:W104)</f>
        <v>8168</v>
      </c>
      <c r="X105" s="172">
        <f t="shared" si="49"/>
        <v>3.0012610340479196E-2</v>
      </c>
      <c r="Y105" s="182">
        <f t="shared" si="43"/>
        <v>2.1806853582554515</v>
      </c>
      <c r="Z105" s="172">
        <f t="shared" si="44"/>
        <v>1.6116506962240986E-3</v>
      </c>
    </row>
    <row r="106" spans="1:26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</row>
    <row r="107" spans="1:26" x14ac:dyDescent="0.25">
      <c r="A107" s="1" t="s">
        <v>0</v>
      </c>
      <c r="B107" s="158" t="s">
        <v>71</v>
      </c>
      <c r="C107" s="178">
        <f>C108+C111</f>
        <v>0</v>
      </c>
      <c r="D107" s="178">
        <f>D108+D111</f>
        <v>0</v>
      </c>
      <c r="E107" s="178">
        <f>E108+E111</f>
        <v>0</v>
      </c>
      <c r="F107" s="178">
        <f>F108+F111</f>
        <v>0</v>
      </c>
      <c r="G107" s="178">
        <f>G108+G111</f>
        <v>0</v>
      </c>
      <c r="H107" s="179" t="str">
        <f>IFERROR(G107/F107-1,"-")</f>
        <v>-</v>
      </c>
      <c r="I107" s="179" t="str">
        <f t="shared" si="35"/>
        <v>-</v>
      </c>
      <c r="J107" s="179">
        <f>G107/G$9</f>
        <v>0</v>
      </c>
      <c r="K107" s="178">
        <f>K108+K111</f>
        <v>0</v>
      </c>
      <c r="L107" s="178">
        <f>L108+L111</f>
        <v>0</v>
      </c>
      <c r="M107" s="178">
        <f>M108+M111</f>
        <v>0</v>
      </c>
      <c r="N107" s="178">
        <f>N108+N111</f>
        <v>0</v>
      </c>
      <c r="O107" s="178">
        <f>O108+O111</f>
        <v>0</v>
      </c>
      <c r="P107" s="179" t="str">
        <f>IFERROR(O107/N107-1,"-")</f>
        <v>-</v>
      </c>
      <c r="Q107" s="179" t="str">
        <f t="shared" si="42"/>
        <v>-</v>
      </c>
      <c r="R107" s="179">
        <f>O107/O$9</f>
        <v>0</v>
      </c>
      <c r="S107" s="178">
        <f>S108+S111</f>
        <v>63499</v>
      </c>
      <c r="T107" s="178">
        <f>T108+T111</f>
        <v>95997</v>
      </c>
      <c r="U107" s="178">
        <f>U108+U111</f>
        <v>169794</v>
      </c>
      <c r="V107" s="178">
        <f>V108+V111</f>
        <v>220761</v>
      </c>
      <c r="W107" s="178">
        <f>W108+W111</f>
        <v>207278</v>
      </c>
      <c r="X107" s="179">
        <f>IFERROR(W107/V107-1,"-")</f>
        <v>-6.1075099315549441E-2</v>
      </c>
      <c r="Y107" s="179">
        <f t="shared" si="43"/>
        <v>2.2642718782972961</v>
      </c>
      <c r="Z107" s="179">
        <f t="shared" ref="Z107:Z119" si="50">U107/U$9</f>
        <v>4.4956237607142208E-2</v>
      </c>
    </row>
    <row r="108" spans="1:26" x14ac:dyDescent="0.25">
      <c r="A108" s="1" t="s">
        <v>99</v>
      </c>
      <c r="B108" s="161" t="s">
        <v>100</v>
      </c>
      <c r="C108" s="162">
        <v>0</v>
      </c>
      <c r="D108" s="162">
        <v>0</v>
      </c>
      <c r="E108" s="162">
        <v>0</v>
      </c>
      <c r="F108" s="162">
        <v>0</v>
      </c>
      <c r="G108" s="162">
        <v>0</v>
      </c>
      <c r="H108" s="163" t="str">
        <f>IFERROR(G108/F108-1,"-")</f>
        <v>-</v>
      </c>
      <c r="I108" s="180" t="str">
        <f t="shared" si="35"/>
        <v>-</v>
      </c>
      <c r="J108" s="163">
        <f>G108/G$9</f>
        <v>0</v>
      </c>
      <c r="K108" s="162">
        <v>0</v>
      </c>
      <c r="L108" s="162">
        <v>0</v>
      </c>
      <c r="M108" s="162">
        <v>0</v>
      </c>
      <c r="N108" s="162">
        <v>0</v>
      </c>
      <c r="O108" s="162">
        <v>0</v>
      </c>
      <c r="P108" s="163" t="str">
        <f>IFERROR(O108/N108-1,"-")</f>
        <v>-</v>
      </c>
      <c r="Q108" s="180" t="str">
        <f t="shared" si="42"/>
        <v>-</v>
      </c>
      <c r="R108" s="163">
        <f>O108/O$9</f>
        <v>0</v>
      </c>
      <c r="S108" s="162">
        <v>28387</v>
      </c>
      <c r="T108" s="162">
        <v>39659</v>
      </c>
      <c r="U108" s="162">
        <v>41132</v>
      </c>
      <c r="V108" s="162">
        <v>48543</v>
      </c>
      <c r="W108" s="162">
        <v>43479</v>
      </c>
      <c r="X108" s="163">
        <f>IFERROR(W108/V108-1,"-")</f>
        <v>-0.10431988134231507</v>
      </c>
      <c r="Y108" s="180">
        <f t="shared" si="43"/>
        <v>0.53165181244936055</v>
      </c>
      <c r="Z108" s="163">
        <f t="shared" si="50"/>
        <v>1.089049062544597E-2</v>
      </c>
    </row>
    <row r="109" spans="1:26" x14ac:dyDescent="0.25">
      <c r="A109" s="164" t="s">
        <v>106</v>
      </c>
      <c r="B109" s="165" t="s">
        <v>106</v>
      </c>
      <c r="C109" s="166">
        <v>0</v>
      </c>
      <c r="D109" s="166">
        <v>0</v>
      </c>
      <c r="E109" s="166">
        <v>0</v>
      </c>
      <c r="F109" s="166">
        <v>0</v>
      </c>
      <c r="G109" s="166">
        <v>0</v>
      </c>
      <c r="H109" s="167" t="str">
        <f>IFERROR(G109/F109-1,"-")</f>
        <v>-</v>
      </c>
      <c r="I109" s="181" t="str">
        <f t="shared" si="35"/>
        <v>-</v>
      </c>
      <c r="J109" s="167">
        <f>G109/G$9</f>
        <v>0</v>
      </c>
      <c r="K109" s="166">
        <v>0</v>
      </c>
      <c r="L109" s="166">
        <v>0</v>
      </c>
      <c r="M109" s="166">
        <v>0</v>
      </c>
      <c r="N109" s="166">
        <v>0</v>
      </c>
      <c r="O109" s="166">
        <v>0</v>
      </c>
      <c r="P109" s="167" t="str">
        <f>IFERROR(O109/N109-1,"-")</f>
        <v>-</v>
      </c>
      <c r="Q109" s="181" t="str">
        <f t="shared" si="42"/>
        <v>-</v>
      </c>
      <c r="R109" s="167">
        <f>O109/O$9</f>
        <v>0</v>
      </c>
      <c r="S109" s="166">
        <v>3383</v>
      </c>
      <c r="T109" s="166">
        <v>20351</v>
      </c>
      <c r="U109" s="166">
        <v>11031</v>
      </c>
      <c r="V109" s="166">
        <v>14560</v>
      </c>
      <c r="W109" s="166">
        <v>12208</v>
      </c>
      <c r="X109" s="167">
        <f>IFERROR(W109/V109-1,"-")</f>
        <v>-0.16153846153846152</v>
      </c>
      <c r="Y109" s="181">
        <f t="shared" si="43"/>
        <v>2.6086313922553948</v>
      </c>
      <c r="Z109" s="167">
        <f t="shared" si="50"/>
        <v>2.9206700887215429E-3</v>
      </c>
    </row>
    <row r="110" spans="1:26" x14ac:dyDescent="0.25">
      <c r="A110" s="164" t="s">
        <v>103</v>
      </c>
      <c r="B110" s="165" t="s">
        <v>103</v>
      </c>
      <c r="C110" s="166">
        <v>0</v>
      </c>
      <c r="D110" s="166">
        <v>0</v>
      </c>
      <c r="E110" s="166">
        <v>0</v>
      </c>
      <c r="F110" s="166">
        <v>0</v>
      </c>
      <c r="G110" s="166">
        <v>0</v>
      </c>
      <c r="H110" s="167" t="str">
        <f>IFERROR(G110/F110-1,"-")</f>
        <v>-</v>
      </c>
      <c r="I110" s="181" t="str">
        <f t="shared" si="35"/>
        <v>-</v>
      </c>
      <c r="J110" s="167">
        <f>G110/G$9</f>
        <v>0</v>
      </c>
      <c r="K110" s="166">
        <v>0</v>
      </c>
      <c r="L110" s="166">
        <v>0</v>
      </c>
      <c r="M110" s="166">
        <v>0</v>
      </c>
      <c r="N110" s="166">
        <v>0</v>
      </c>
      <c r="O110" s="166">
        <v>0</v>
      </c>
      <c r="P110" s="167" t="str">
        <f>IFERROR(O110/N110-1,"-")</f>
        <v>-</v>
      </c>
      <c r="Q110" s="181" t="str">
        <f t="shared" si="42"/>
        <v>-</v>
      </c>
      <c r="R110" s="167">
        <f>O110/O$9</f>
        <v>0</v>
      </c>
      <c r="S110" s="166">
        <v>25004</v>
      </c>
      <c r="T110" s="166">
        <v>19308</v>
      </c>
      <c r="U110" s="166">
        <v>30101</v>
      </c>
      <c r="V110" s="166">
        <v>33983</v>
      </c>
      <c r="W110" s="166">
        <v>31271</v>
      </c>
      <c r="X110" s="167">
        <f>IFERROR(W110/V110-1,"-")</f>
        <v>-7.9804608186446191E-2</v>
      </c>
      <c r="Y110" s="181">
        <f t="shared" si="43"/>
        <v>0.25063989761638128</v>
      </c>
      <c r="Z110" s="167">
        <f t="shared" si="50"/>
        <v>7.9698205367244278E-3</v>
      </c>
    </row>
    <row r="111" spans="1:26" x14ac:dyDescent="0.25">
      <c r="A111" s="1" t="s">
        <v>149</v>
      </c>
      <c r="B111" s="161" t="s">
        <v>110</v>
      </c>
      <c r="C111" s="162">
        <v>0</v>
      </c>
      <c r="D111" s="162">
        <v>0</v>
      </c>
      <c r="E111" s="162">
        <v>0</v>
      </c>
      <c r="F111" s="162">
        <v>0</v>
      </c>
      <c r="G111" s="162">
        <v>0</v>
      </c>
      <c r="H111" s="163" t="str">
        <f>IFERROR(G111/F111-1,"-")</f>
        <v>-</v>
      </c>
      <c r="I111" s="180" t="str">
        <f t="shared" si="35"/>
        <v>-</v>
      </c>
      <c r="J111" s="163">
        <f>G111/G$9</f>
        <v>0</v>
      </c>
      <c r="K111" s="162">
        <v>0</v>
      </c>
      <c r="L111" s="162">
        <v>0</v>
      </c>
      <c r="M111" s="162">
        <v>0</v>
      </c>
      <c r="N111" s="162">
        <v>0</v>
      </c>
      <c r="O111" s="162">
        <v>0</v>
      </c>
      <c r="P111" s="163" t="str">
        <f>IFERROR(O111/N111-1,"-")</f>
        <v>-</v>
      </c>
      <c r="Q111" s="180" t="str">
        <f t="shared" si="42"/>
        <v>-</v>
      </c>
      <c r="R111" s="163">
        <f>O111/O$9</f>
        <v>0</v>
      </c>
      <c r="S111" s="162">
        <v>35112</v>
      </c>
      <c r="T111" s="162">
        <v>56338</v>
      </c>
      <c r="U111" s="162">
        <v>128662</v>
      </c>
      <c r="V111" s="162">
        <v>172218</v>
      </c>
      <c r="W111" s="162">
        <v>163799</v>
      </c>
      <c r="X111" s="163">
        <f>IFERROR(W111/V111-1,"-")</f>
        <v>-4.8885714617519671E-2</v>
      </c>
      <c r="Y111" s="180">
        <f t="shared" si="43"/>
        <v>3.6650432900432897</v>
      </c>
      <c r="Z111" s="163">
        <f t="shared" si="50"/>
        <v>3.4065746981696232E-2</v>
      </c>
    </row>
    <row r="112" spans="1:26" x14ac:dyDescent="0.25">
      <c r="A112" s="164" t="s">
        <v>113</v>
      </c>
      <c r="B112" s="165" t="s">
        <v>113</v>
      </c>
      <c r="C112" s="166">
        <v>0</v>
      </c>
      <c r="D112" s="166">
        <v>0</v>
      </c>
      <c r="E112" s="166">
        <v>0</v>
      </c>
      <c r="F112" s="166">
        <v>0</v>
      </c>
      <c r="G112" s="166">
        <v>0</v>
      </c>
      <c r="H112" s="167" t="str">
        <f t="shared" ref="H112:H119" si="51">IFERROR(G112/F112-1,"-")</f>
        <v>-</v>
      </c>
      <c r="I112" s="181" t="str">
        <f t="shared" si="35"/>
        <v>-</v>
      </c>
      <c r="J112" s="167">
        <f t="shared" ref="J112:J119" si="52">G112/G$9</f>
        <v>0</v>
      </c>
      <c r="K112" s="166">
        <v>0</v>
      </c>
      <c r="L112" s="166">
        <v>0</v>
      </c>
      <c r="M112" s="166">
        <v>0</v>
      </c>
      <c r="N112" s="166">
        <v>0</v>
      </c>
      <c r="O112" s="166">
        <v>0</v>
      </c>
      <c r="P112" s="167" t="str">
        <f t="shared" ref="P112:P119" si="53">IFERROR(O112/N112-1,"-")</f>
        <v>-</v>
      </c>
      <c r="Q112" s="181" t="str">
        <f t="shared" si="42"/>
        <v>-</v>
      </c>
      <c r="R112" s="167">
        <f t="shared" ref="R112:R119" si="54">O112/O$9</f>
        <v>0</v>
      </c>
      <c r="S112" s="166">
        <v>20258</v>
      </c>
      <c r="T112" s="166">
        <v>23009</v>
      </c>
      <c r="U112" s="166">
        <v>77726</v>
      </c>
      <c r="V112" s="166">
        <v>113230</v>
      </c>
      <c r="W112" s="166">
        <v>102157</v>
      </c>
      <c r="X112" s="167">
        <f t="shared" ref="X112:X119" si="55">IFERROR(W112/V112-1,"-")</f>
        <v>-9.7792104565927795E-2</v>
      </c>
      <c r="Y112" s="181">
        <f t="shared" si="43"/>
        <v>4.042797906999704</v>
      </c>
      <c r="Z112" s="167">
        <f t="shared" si="50"/>
        <v>2.0579458192001691E-2</v>
      </c>
    </row>
    <row r="113" spans="1:26" x14ac:dyDescent="0.25">
      <c r="A113" s="164" t="s">
        <v>116</v>
      </c>
      <c r="B113" s="165" t="s">
        <v>116</v>
      </c>
      <c r="C113" s="166">
        <v>0</v>
      </c>
      <c r="D113" s="166">
        <v>0</v>
      </c>
      <c r="E113" s="166">
        <v>0</v>
      </c>
      <c r="F113" s="166">
        <v>0</v>
      </c>
      <c r="G113" s="166">
        <v>0</v>
      </c>
      <c r="H113" s="167" t="str">
        <f t="shared" si="51"/>
        <v>-</v>
      </c>
      <c r="I113" s="181" t="str">
        <f t="shared" si="35"/>
        <v>-</v>
      </c>
      <c r="J113" s="167">
        <f t="shared" si="52"/>
        <v>0</v>
      </c>
      <c r="K113" s="166">
        <v>0</v>
      </c>
      <c r="L113" s="166">
        <v>0</v>
      </c>
      <c r="M113" s="166">
        <v>0</v>
      </c>
      <c r="N113" s="166">
        <v>0</v>
      </c>
      <c r="O113" s="166">
        <v>0</v>
      </c>
      <c r="P113" s="167" t="str">
        <f t="shared" si="53"/>
        <v>-</v>
      </c>
      <c r="Q113" s="181" t="str">
        <f t="shared" si="42"/>
        <v>-</v>
      </c>
      <c r="R113" s="167">
        <f t="shared" si="54"/>
        <v>0</v>
      </c>
      <c r="S113" s="166">
        <v>2717</v>
      </c>
      <c r="T113" s="166">
        <v>6854</v>
      </c>
      <c r="U113" s="166">
        <v>5917</v>
      </c>
      <c r="V113" s="166">
        <v>7594</v>
      </c>
      <c r="W113" s="166">
        <v>7215</v>
      </c>
      <c r="X113" s="167">
        <f t="shared" si="55"/>
        <v>-4.9907821964708998E-2</v>
      </c>
      <c r="Y113" s="181">
        <f t="shared" si="43"/>
        <v>1.6555023923444976</v>
      </c>
      <c r="Z113" s="167">
        <f t="shared" si="50"/>
        <v>1.5666399161422689E-3</v>
      </c>
    </row>
    <row r="114" spans="1:26" x14ac:dyDescent="0.25">
      <c r="A114" s="164" t="s">
        <v>119</v>
      </c>
      <c r="B114" s="165" t="s">
        <v>119</v>
      </c>
      <c r="C114" s="166">
        <v>0</v>
      </c>
      <c r="D114" s="166">
        <v>0</v>
      </c>
      <c r="E114" s="166">
        <v>0</v>
      </c>
      <c r="F114" s="166">
        <v>0</v>
      </c>
      <c r="G114" s="166">
        <v>0</v>
      </c>
      <c r="H114" s="167" t="str">
        <f t="shared" si="51"/>
        <v>-</v>
      </c>
      <c r="I114" s="181" t="str">
        <f t="shared" si="35"/>
        <v>-</v>
      </c>
      <c r="J114" s="167">
        <f t="shared" si="52"/>
        <v>0</v>
      </c>
      <c r="K114" s="166">
        <v>0</v>
      </c>
      <c r="L114" s="166">
        <v>0</v>
      </c>
      <c r="M114" s="166">
        <v>0</v>
      </c>
      <c r="N114" s="166">
        <v>0</v>
      </c>
      <c r="O114" s="166">
        <v>0</v>
      </c>
      <c r="P114" s="167" t="str">
        <f t="shared" si="53"/>
        <v>-</v>
      </c>
      <c r="Q114" s="181" t="str">
        <f t="shared" si="42"/>
        <v>-</v>
      </c>
      <c r="R114" s="167">
        <f t="shared" si="54"/>
        <v>0</v>
      </c>
      <c r="S114" s="166">
        <v>1871</v>
      </c>
      <c r="T114" s="166">
        <v>6300</v>
      </c>
      <c r="U114" s="166">
        <v>8638</v>
      </c>
      <c r="V114" s="166">
        <v>12056</v>
      </c>
      <c r="W114" s="166">
        <v>12800</v>
      </c>
      <c r="X114" s="167">
        <f t="shared" si="55"/>
        <v>6.1712010617120061E-2</v>
      </c>
      <c r="Y114" s="181">
        <f t="shared" si="43"/>
        <v>5.841261357562801</v>
      </c>
      <c r="Z114" s="167">
        <f t="shared" si="50"/>
        <v>2.2870771667461414E-3</v>
      </c>
    </row>
    <row r="115" spans="1:26" x14ac:dyDescent="0.25">
      <c r="A115" s="164" t="s">
        <v>126</v>
      </c>
      <c r="B115" s="165" t="s">
        <v>126</v>
      </c>
      <c r="C115" s="166">
        <v>0</v>
      </c>
      <c r="D115" s="166">
        <v>0</v>
      </c>
      <c r="E115" s="166">
        <v>0</v>
      </c>
      <c r="F115" s="166">
        <v>0</v>
      </c>
      <c r="G115" s="166">
        <v>0</v>
      </c>
      <c r="H115" s="167" t="str">
        <f t="shared" si="51"/>
        <v>-</v>
      </c>
      <c r="I115" s="181" t="str">
        <f t="shared" si="35"/>
        <v>-</v>
      </c>
      <c r="J115" s="167">
        <f t="shared" si="52"/>
        <v>0</v>
      </c>
      <c r="K115" s="166">
        <v>0</v>
      </c>
      <c r="L115" s="166">
        <v>0</v>
      </c>
      <c r="M115" s="166">
        <v>0</v>
      </c>
      <c r="N115" s="166">
        <v>0</v>
      </c>
      <c r="O115" s="166">
        <v>0</v>
      </c>
      <c r="P115" s="167" t="str">
        <f t="shared" si="53"/>
        <v>-</v>
      </c>
      <c r="Q115" s="181" t="str">
        <f t="shared" si="42"/>
        <v>-</v>
      </c>
      <c r="R115" s="167">
        <f t="shared" si="54"/>
        <v>0</v>
      </c>
      <c r="S115" s="166">
        <v>1133</v>
      </c>
      <c r="T115" s="166">
        <v>3529</v>
      </c>
      <c r="U115" s="166">
        <v>5894</v>
      </c>
      <c r="V115" s="166">
        <v>6032</v>
      </c>
      <c r="W115" s="166">
        <v>5918</v>
      </c>
      <c r="X115" s="167">
        <f t="shared" si="55"/>
        <v>-1.8899204244031798E-2</v>
      </c>
      <c r="Y115" s="181">
        <f t="shared" si="43"/>
        <v>4.2233009708737868</v>
      </c>
      <c r="Z115" s="167">
        <f t="shared" si="50"/>
        <v>1.5605502223664921E-3</v>
      </c>
    </row>
    <row r="116" spans="1:26" x14ac:dyDescent="0.25">
      <c r="A116" s="164" t="s">
        <v>122</v>
      </c>
      <c r="B116" s="165" t="s">
        <v>122</v>
      </c>
      <c r="C116" s="166">
        <v>0</v>
      </c>
      <c r="D116" s="166">
        <v>0</v>
      </c>
      <c r="E116" s="166">
        <v>0</v>
      </c>
      <c r="F116" s="166">
        <v>0</v>
      </c>
      <c r="G116" s="166">
        <v>0</v>
      </c>
      <c r="H116" s="167" t="str">
        <f t="shared" si="51"/>
        <v>-</v>
      </c>
      <c r="I116" s="181" t="str">
        <f t="shared" si="35"/>
        <v>-</v>
      </c>
      <c r="J116" s="167">
        <f t="shared" si="52"/>
        <v>0</v>
      </c>
      <c r="K116" s="166">
        <v>0</v>
      </c>
      <c r="L116" s="166">
        <v>0</v>
      </c>
      <c r="M116" s="166">
        <v>0</v>
      </c>
      <c r="N116" s="166">
        <v>0</v>
      </c>
      <c r="O116" s="166">
        <v>0</v>
      </c>
      <c r="P116" s="167" t="str">
        <f t="shared" si="53"/>
        <v>-</v>
      </c>
      <c r="Q116" s="181" t="str">
        <f t="shared" si="42"/>
        <v>-</v>
      </c>
      <c r="R116" s="167">
        <f t="shared" si="54"/>
        <v>0</v>
      </c>
      <c r="S116" s="166">
        <v>2557</v>
      </c>
      <c r="T116" s="166">
        <v>4170</v>
      </c>
      <c r="U116" s="166">
        <v>4317</v>
      </c>
      <c r="V116" s="166">
        <v>4916</v>
      </c>
      <c r="W116" s="166">
        <v>4686</v>
      </c>
      <c r="X116" s="167">
        <f t="shared" si="55"/>
        <v>-4.6786004882017895E-2</v>
      </c>
      <c r="Y116" s="181">
        <f t="shared" si="43"/>
        <v>0.83261634728197098</v>
      </c>
      <c r="Z116" s="167">
        <f t="shared" si="50"/>
        <v>1.1430090447838727E-3</v>
      </c>
    </row>
    <row r="117" spans="1:26" x14ac:dyDescent="0.25">
      <c r="A117" s="164" t="s">
        <v>131</v>
      </c>
      <c r="B117" s="165" t="s">
        <v>131</v>
      </c>
      <c r="C117" s="166">
        <v>0</v>
      </c>
      <c r="D117" s="166">
        <v>0</v>
      </c>
      <c r="E117" s="166">
        <v>0</v>
      </c>
      <c r="F117" s="166">
        <v>0</v>
      </c>
      <c r="G117" s="166">
        <v>0</v>
      </c>
      <c r="H117" s="167" t="str">
        <f t="shared" si="51"/>
        <v>-</v>
      </c>
      <c r="I117" s="181" t="str">
        <f t="shared" si="35"/>
        <v>-</v>
      </c>
      <c r="J117" s="167">
        <f t="shared" si="52"/>
        <v>0</v>
      </c>
      <c r="K117" s="166">
        <v>0</v>
      </c>
      <c r="L117" s="166">
        <v>0</v>
      </c>
      <c r="M117" s="166">
        <v>0</v>
      </c>
      <c r="N117" s="166">
        <v>0</v>
      </c>
      <c r="O117" s="166">
        <v>0</v>
      </c>
      <c r="P117" s="167" t="str">
        <f t="shared" si="53"/>
        <v>-</v>
      </c>
      <c r="Q117" s="181" t="str">
        <f t="shared" si="42"/>
        <v>-</v>
      </c>
      <c r="R117" s="167">
        <f t="shared" si="54"/>
        <v>0</v>
      </c>
      <c r="S117" s="166">
        <v>226</v>
      </c>
      <c r="T117" s="166">
        <v>308</v>
      </c>
      <c r="U117" s="166">
        <v>1123</v>
      </c>
      <c r="V117" s="166">
        <v>1300</v>
      </c>
      <c r="W117" s="166">
        <v>1069</v>
      </c>
      <c r="X117" s="167">
        <f t="shared" si="55"/>
        <v>-0.1776923076923077</v>
      </c>
      <c r="Y117" s="181">
        <f t="shared" si="43"/>
        <v>3.7300884955752212</v>
      </c>
      <c r="Z117" s="167">
        <f t="shared" si="50"/>
        <v>2.9733591783467434E-4</v>
      </c>
    </row>
    <row r="118" spans="1:26" x14ac:dyDescent="0.25">
      <c r="A118" s="164" t="s">
        <v>134</v>
      </c>
      <c r="B118" s="165" t="s">
        <v>134</v>
      </c>
      <c r="C118" s="166">
        <v>0</v>
      </c>
      <c r="D118" s="166">
        <v>0</v>
      </c>
      <c r="E118" s="166">
        <v>0</v>
      </c>
      <c r="F118" s="166">
        <v>0</v>
      </c>
      <c r="G118" s="166">
        <v>0</v>
      </c>
      <c r="H118" s="167" t="str">
        <f t="shared" si="51"/>
        <v>-</v>
      </c>
      <c r="I118" s="181" t="str">
        <f t="shared" si="35"/>
        <v>-</v>
      </c>
      <c r="J118" s="167">
        <f t="shared" si="52"/>
        <v>0</v>
      </c>
      <c r="K118" s="166">
        <v>0</v>
      </c>
      <c r="L118" s="166">
        <v>0</v>
      </c>
      <c r="M118" s="166">
        <v>0</v>
      </c>
      <c r="N118" s="166">
        <v>0</v>
      </c>
      <c r="O118" s="166">
        <v>0</v>
      </c>
      <c r="P118" s="167" t="str">
        <f t="shared" si="53"/>
        <v>-</v>
      </c>
      <c r="Q118" s="181" t="str">
        <f t="shared" si="42"/>
        <v>-</v>
      </c>
      <c r="R118" s="167">
        <f t="shared" si="54"/>
        <v>0</v>
      </c>
      <c r="S118" s="166">
        <v>549</v>
      </c>
      <c r="T118" s="166">
        <v>470</v>
      </c>
      <c r="U118" s="166">
        <v>840</v>
      </c>
      <c r="V118" s="166">
        <v>770</v>
      </c>
      <c r="W118" s="166">
        <v>1368</v>
      </c>
      <c r="X118" s="167">
        <f t="shared" si="55"/>
        <v>0.77662337662337655</v>
      </c>
      <c r="Y118" s="181">
        <f t="shared" si="43"/>
        <v>1.4918032786885247</v>
      </c>
      <c r="Z118" s="167">
        <f t="shared" si="50"/>
        <v>2.2240620746315801E-4</v>
      </c>
    </row>
    <row r="119" spans="1:26" x14ac:dyDescent="0.25">
      <c r="A119" s="169" t="s">
        <v>148</v>
      </c>
      <c r="B119" s="170" t="s">
        <v>148</v>
      </c>
      <c r="C119" s="171">
        <f>C111-SUM(C112:C118)</f>
        <v>0</v>
      </c>
      <c r="D119" s="171">
        <f>D111-SUM(D112:D118)</f>
        <v>0</v>
      </c>
      <c r="E119" s="171">
        <f>E111-SUM(E112:E118)</f>
        <v>0</v>
      </c>
      <c r="F119" s="171">
        <f>F111-SUM(F112:F118)</f>
        <v>0</v>
      </c>
      <c r="G119" s="171">
        <f>G111-SUM(G112:G118)</f>
        <v>0</v>
      </c>
      <c r="H119" s="172" t="str">
        <f t="shared" si="51"/>
        <v>-</v>
      </c>
      <c r="I119" s="182" t="str">
        <f t="shared" si="35"/>
        <v>-</v>
      </c>
      <c r="J119" s="172">
        <f t="shared" si="52"/>
        <v>0</v>
      </c>
      <c r="K119" s="171">
        <f>K111-SUM(K112:K118)</f>
        <v>0</v>
      </c>
      <c r="L119" s="171">
        <f>L111-SUM(L112:L118)</f>
        <v>0</v>
      </c>
      <c r="M119" s="171">
        <f>M111-SUM(M112:M118)</f>
        <v>0</v>
      </c>
      <c r="N119" s="171">
        <f>N111-SUM(N112:N118)</f>
        <v>0</v>
      </c>
      <c r="O119" s="171">
        <f>O111-SUM(O112:O118)</f>
        <v>0</v>
      </c>
      <c r="P119" s="172" t="str">
        <f t="shared" si="53"/>
        <v>-</v>
      </c>
      <c r="Q119" s="182" t="str">
        <f t="shared" si="42"/>
        <v>-</v>
      </c>
      <c r="R119" s="172">
        <f t="shared" si="54"/>
        <v>0</v>
      </c>
      <c r="S119" s="171">
        <f>S111-SUM(S112:S118)</f>
        <v>5801</v>
      </c>
      <c r="T119" s="171">
        <f>T111-SUM(T112:T118)</f>
        <v>11698</v>
      </c>
      <c r="U119" s="171">
        <f>U111-SUM(U112:U118)</f>
        <v>24207</v>
      </c>
      <c r="V119" s="171">
        <f>V111-SUM(V112:V118)</f>
        <v>26320</v>
      </c>
      <c r="W119" s="171">
        <f>W111-SUM(W112:W118)</f>
        <v>28586</v>
      </c>
      <c r="X119" s="172">
        <f t="shared" si="55"/>
        <v>8.6094224924012197E-2</v>
      </c>
      <c r="Y119" s="182">
        <f t="shared" si="43"/>
        <v>3.9277710739527665</v>
      </c>
      <c r="Z119" s="172">
        <f t="shared" si="50"/>
        <v>6.4092703143579354E-3</v>
      </c>
    </row>
    <row r="120" spans="1:26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</row>
    <row r="121" spans="1:26" x14ac:dyDescent="0.25">
      <c r="A121" s="1" t="s">
        <v>0</v>
      </c>
      <c r="B121" s="158" t="s">
        <v>71</v>
      </c>
      <c r="C121" s="178">
        <f>C122+C125</f>
        <v>48728</v>
      </c>
      <c r="D121" s="178">
        <f>D122+D125</f>
        <v>61314</v>
      </c>
      <c r="E121" s="178">
        <f>E122+E125</f>
        <v>93434</v>
      </c>
      <c r="F121" s="178">
        <f>F122+F125</f>
        <v>94365</v>
      </c>
      <c r="G121" s="178">
        <f>G122+G125</f>
        <v>99219</v>
      </c>
      <c r="H121" s="179">
        <f>IFERROR(G121/F121-1,"-")</f>
        <v>5.1438563026545925E-2</v>
      </c>
      <c r="I121" s="179">
        <f t="shared" si="35"/>
        <v>1.0361804301428337</v>
      </c>
      <c r="J121" s="179">
        <f>G121/G$9</f>
        <v>0.1305770875830756</v>
      </c>
      <c r="K121" s="178">
        <f>K122+K125</f>
        <v>54788</v>
      </c>
      <c r="L121" s="178">
        <f>L122+L125</f>
        <v>102944</v>
      </c>
      <c r="M121" s="178">
        <f>M122+M125</f>
        <v>135697</v>
      </c>
      <c r="N121" s="178">
        <f>N122+N125</f>
        <v>145679</v>
      </c>
      <c r="O121" s="178">
        <f>O122+O125</f>
        <v>151188</v>
      </c>
      <c r="P121" s="179">
        <f>IFERROR(O121/N121-1,"-")</f>
        <v>3.7816020153899954E-2</v>
      </c>
      <c r="Q121" s="179">
        <f t="shared" si="42"/>
        <v>1.7595093816164122</v>
      </c>
      <c r="R121" s="179">
        <f>O121/O$9</f>
        <v>4.2918277057764014E-2</v>
      </c>
      <c r="S121" s="178">
        <f>S122+S125</f>
        <v>103516</v>
      </c>
      <c r="T121" s="178">
        <f>T122+T125</f>
        <v>164258</v>
      </c>
      <c r="U121" s="178">
        <f>U122+U125</f>
        <v>229131</v>
      </c>
      <c r="V121" s="178">
        <f>V122+V125</f>
        <v>240044</v>
      </c>
      <c r="W121" s="178">
        <f>W122+W125</f>
        <v>250407</v>
      </c>
      <c r="X121" s="179">
        <f>IFERROR(W121/V121-1,"-")</f>
        <v>4.3171251937144772E-2</v>
      </c>
      <c r="Y121" s="179">
        <f t="shared" si="43"/>
        <v>1.419017349974883</v>
      </c>
      <c r="Z121" s="179">
        <f t="shared" ref="Z121:Z133" si="56">U121/U$9</f>
        <v>6.066685324076293E-2</v>
      </c>
    </row>
    <row r="122" spans="1:26" x14ac:dyDescent="0.25">
      <c r="A122" s="1" t="s">
        <v>99</v>
      </c>
      <c r="B122" s="161" t="s">
        <v>100</v>
      </c>
      <c r="C122" s="162">
        <v>23736</v>
      </c>
      <c r="D122" s="162">
        <v>32824</v>
      </c>
      <c r="E122" s="162">
        <v>51574</v>
      </c>
      <c r="F122" s="162">
        <v>61454</v>
      </c>
      <c r="G122" s="162">
        <v>66290</v>
      </c>
      <c r="H122" s="163">
        <f>IFERROR(G122/F122-1,"-")</f>
        <v>7.8693006150942102E-2</v>
      </c>
      <c r="I122" s="180">
        <f t="shared" si="35"/>
        <v>1.7928041793056959</v>
      </c>
      <c r="J122" s="163">
        <f>G122/G$9</f>
        <v>8.7240902809765083E-2</v>
      </c>
      <c r="K122" s="162">
        <v>37835</v>
      </c>
      <c r="L122" s="162">
        <v>71733</v>
      </c>
      <c r="M122" s="162">
        <v>83312</v>
      </c>
      <c r="N122" s="162">
        <v>85760</v>
      </c>
      <c r="O122" s="162">
        <v>89698</v>
      </c>
      <c r="P122" s="163">
        <f>IFERROR(O122/N122-1,"-")</f>
        <v>4.59188432835822E-2</v>
      </c>
      <c r="Q122" s="180">
        <f t="shared" si="42"/>
        <v>1.3707678075855689</v>
      </c>
      <c r="R122" s="163">
        <f>O122/O$9</f>
        <v>2.5462891337456123E-2</v>
      </c>
      <c r="S122" s="162">
        <v>61571</v>
      </c>
      <c r="T122" s="162">
        <v>104557</v>
      </c>
      <c r="U122" s="162">
        <v>134886</v>
      </c>
      <c r="V122" s="162">
        <v>147214</v>
      </c>
      <c r="W122" s="162">
        <v>155988</v>
      </c>
      <c r="X122" s="163">
        <f>IFERROR(W122/V122-1,"-")</f>
        <v>5.9600309753148561E-2</v>
      </c>
      <c r="Y122" s="180">
        <f t="shared" si="43"/>
        <v>1.533465430153806</v>
      </c>
      <c r="Z122" s="163">
        <f t="shared" si="56"/>
        <v>3.5713671071280394E-2</v>
      </c>
    </row>
    <row r="123" spans="1:26" x14ac:dyDescent="0.25">
      <c r="A123" s="164" t="s">
        <v>106</v>
      </c>
      <c r="B123" s="165" t="s">
        <v>106</v>
      </c>
      <c r="C123" s="166">
        <v>11647</v>
      </c>
      <c r="D123" s="166">
        <v>15693</v>
      </c>
      <c r="E123" s="166">
        <v>29334</v>
      </c>
      <c r="F123" s="166">
        <v>30291</v>
      </c>
      <c r="G123" s="166">
        <v>37901</v>
      </c>
      <c r="H123" s="167">
        <f>IFERROR(G123/F123-1,"-")</f>
        <v>0.25122973820606775</v>
      </c>
      <c r="I123" s="181">
        <f t="shared" si="35"/>
        <v>2.2541426976903924</v>
      </c>
      <c r="J123" s="167">
        <f>G123/G$9</f>
        <v>4.9879581496347962E-2</v>
      </c>
      <c r="K123" s="166">
        <v>16144</v>
      </c>
      <c r="L123" s="166">
        <v>37554</v>
      </c>
      <c r="M123" s="166">
        <v>40531</v>
      </c>
      <c r="N123" s="166">
        <v>36734</v>
      </c>
      <c r="O123" s="166">
        <v>37287</v>
      </c>
      <c r="P123" s="167">
        <f>IFERROR(O123/N123-1,"-")</f>
        <v>1.505417324549474E-2</v>
      </c>
      <c r="Q123" s="181">
        <f t="shared" si="42"/>
        <v>1.3096506442021805</v>
      </c>
      <c r="R123" s="167">
        <f>O123/O$9</f>
        <v>1.0584793744562048E-2</v>
      </c>
      <c r="S123" s="166">
        <v>27791</v>
      </c>
      <c r="T123" s="166">
        <v>53247</v>
      </c>
      <c r="U123" s="166">
        <v>69865</v>
      </c>
      <c r="V123" s="166">
        <v>67025</v>
      </c>
      <c r="W123" s="166">
        <v>75188</v>
      </c>
      <c r="X123" s="167">
        <f>IFERROR(W123/V123-1,"-")</f>
        <v>0.12179037672510251</v>
      </c>
      <c r="Y123" s="181">
        <f t="shared" si="43"/>
        <v>1.70548019142888</v>
      </c>
      <c r="Z123" s="167">
        <f t="shared" si="56"/>
        <v>1.8498106767158969E-2</v>
      </c>
    </row>
    <row r="124" spans="1:26" x14ac:dyDescent="0.25">
      <c r="A124" s="164" t="s">
        <v>103</v>
      </c>
      <c r="B124" s="165" t="s">
        <v>103</v>
      </c>
      <c r="C124" s="166">
        <v>12089</v>
      </c>
      <c r="D124" s="166">
        <v>17131</v>
      </c>
      <c r="E124" s="166">
        <v>22240</v>
      </c>
      <c r="F124" s="166">
        <v>31163</v>
      </c>
      <c r="G124" s="166">
        <v>28389</v>
      </c>
      <c r="H124" s="167">
        <f>IFERROR(G124/F124-1,"-")</f>
        <v>-8.9015820042999683E-2</v>
      </c>
      <c r="I124" s="181">
        <f t="shared" si="35"/>
        <v>1.3483331954669535</v>
      </c>
      <c r="J124" s="167">
        <f>G124/G$9</f>
        <v>3.7361321313417122E-2</v>
      </c>
      <c r="K124" s="166">
        <v>21691</v>
      </c>
      <c r="L124" s="166">
        <v>34179</v>
      </c>
      <c r="M124" s="166">
        <v>42781</v>
      </c>
      <c r="N124" s="166">
        <v>49026</v>
      </c>
      <c r="O124" s="166">
        <v>52411</v>
      </c>
      <c r="P124" s="167">
        <f>IFERROR(O124/N124-1,"-")</f>
        <v>6.9044996532452219E-2</v>
      </c>
      <c r="Q124" s="181">
        <f t="shared" si="42"/>
        <v>1.4162555898759854</v>
      </c>
      <c r="R124" s="167">
        <f>O124/O$9</f>
        <v>1.4878097592894077E-2</v>
      </c>
      <c r="S124" s="166">
        <v>33780</v>
      </c>
      <c r="T124" s="166">
        <v>51310</v>
      </c>
      <c r="U124" s="166">
        <v>65021</v>
      </c>
      <c r="V124" s="166">
        <v>80189</v>
      </c>
      <c r="W124" s="166">
        <v>80800</v>
      </c>
      <c r="X124" s="167">
        <f>IFERROR(W124/V124-1,"-")</f>
        <v>7.6194989337690089E-3</v>
      </c>
      <c r="Y124" s="181">
        <f t="shared" si="43"/>
        <v>1.3919478981645943</v>
      </c>
      <c r="Z124" s="167">
        <f t="shared" si="56"/>
        <v>1.7215564304121425E-2</v>
      </c>
    </row>
    <row r="125" spans="1:26" x14ac:dyDescent="0.25">
      <c r="A125" s="1" t="s">
        <v>149</v>
      </c>
      <c r="B125" s="161" t="s">
        <v>110</v>
      </c>
      <c r="C125" s="162">
        <v>24992</v>
      </c>
      <c r="D125" s="162">
        <v>28490</v>
      </c>
      <c r="E125" s="162">
        <v>41860</v>
      </c>
      <c r="F125" s="162">
        <v>32911</v>
      </c>
      <c r="G125" s="162">
        <v>32929</v>
      </c>
      <c r="H125" s="163">
        <f>IFERROR(G125/F125-1,"-")</f>
        <v>5.4692959800672902E-4</v>
      </c>
      <c r="I125" s="180">
        <f t="shared" si="35"/>
        <v>0.31758162612035856</v>
      </c>
      <c r="J125" s="163">
        <f>G125/G$9</f>
        <v>4.333618477331052E-2</v>
      </c>
      <c r="K125" s="162">
        <v>16953</v>
      </c>
      <c r="L125" s="162">
        <v>31211</v>
      </c>
      <c r="M125" s="162">
        <v>52385</v>
      </c>
      <c r="N125" s="162">
        <v>59919</v>
      </c>
      <c r="O125" s="162">
        <v>61490</v>
      </c>
      <c r="P125" s="163">
        <f>IFERROR(O125/N125-1,"-")</f>
        <v>2.6218728616966169E-2</v>
      </c>
      <c r="Q125" s="180">
        <f t="shared" si="42"/>
        <v>2.6270866513301478</v>
      </c>
      <c r="R125" s="163">
        <f>O125/O$9</f>
        <v>1.745538572030789E-2</v>
      </c>
      <c r="S125" s="162">
        <v>41945</v>
      </c>
      <c r="T125" s="162">
        <v>59701</v>
      </c>
      <c r="U125" s="162">
        <v>94245</v>
      </c>
      <c r="V125" s="162">
        <v>92830</v>
      </c>
      <c r="W125" s="162">
        <v>94419</v>
      </c>
      <c r="X125" s="163">
        <f>IFERROR(W125/V125-1,"-")</f>
        <v>1.7117311214047248E-2</v>
      </c>
      <c r="Y125" s="180">
        <f t="shared" si="43"/>
        <v>1.2510191917987843</v>
      </c>
      <c r="Z125" s="163">
        <f t="shared" si="56"/>
        <v>2.4953182169482533E-2</v>
      </c>
    </row>
    <row r="126" spans="1:26" x14ac:dyDescent="0.25">
      <c r="A126" s="164" t="s">
        <v>113</v>
      </c>
      <c r="B126" s="165" t="s">
        <v>113</v>
      </c>
      <c r="C126" s="166">
        <v>1440</v>
      </c>
      <c r="D126" s="166">
        <v>653</v>
      </c>
      <c r="E126" s="166">
        <v>2495</v>
      </c>
      <c r="F126" s="166">
        <v>3075</v>
      </c>
      <c r="G126" s="166">
        <v>2418</v>
      </c>
      <c r="H126" s="167">
        <f t="shared" ref="H126:H133" si="57">IFERROR(G126/F126-1,"-")</f>
        <v>-0.21365853658536582</v>
      </c>
      <c r="I126" s="181">
        <f t="shared" si="35"/>
        <v>0.6791666666666667</v>
      </c>
      <c r="J126" s="167">
        <f t="shared" ref="J126:J133" si="58">G126/G$9</f>
        <v>3.1822070145423437E-3</v>
      </c>
      <c r="K126" s="166">
        <v>2501</v>
      </c>
      <c r="L126" s="166">
        <v>2683</v>
      </c>
      <c r="M126" s="166">
        <v>7422</v>
      </c>
      <c r="N126" s="166">
        <v>8579</v>
      </c>
      <c r="O126" s="166">
        <v>8260</v>
      </c>
      <c r="P126" s="167">
        <f t="shared" ref="P126:P133" si="59">IFERROR(O126/N126-1,"-")</f>
        <v>-3.7183820958153646E-2</v>
      </c>
      <c r="Q126" s="181">
        <f t="shared" si="42"/>
        <v>2.3026789284286284</v>
      </c>
      <c r="R126" s="167">
        <f t="shared" ref="R126:R133" si="60">O126/O$9</f>
        <v>2.3447956749023122E-3</v>
      </c>
      <c r="S126" s="166">
        <v>3941</v>
      </c>
      <c r="T126" s="166">
        <v>3336</v>
      </c>
      <c r="U126" s="166">
        <v>9917</v>
      </c>
      <c r="V126" s="166">
        <v>11654</v>
      </c>
      <c r="W126" s="166">
        <v>10678</v>
      </c>
      <c r="X126" s="167">
        <f t="shared" ref="X126:X133" si="61">IFERROR(W126/V126-1,"-")</f>
        <v>-8.3748069332418074E-2</v>
      </c>
      <c r="Y126" s="181">
        <f t="shared" si="43"/>
        <v>1.709464602892667</v>
      </c>
      <c r="Z126" s="167">
        <f t="shared" si="56"/>
        <v>2.6257170945382597E-3</v>
      </c>
    </row>
    <row r="127" spans="1:26" x14ac:dyDescent="0.25">
      <c r="A127" s="164" t="s">
        <v>116</v>
      </c>
      <c r="B127" s="165" t="s">
        <v>116</v>
      </c>
      <c r="C127" s="166">
        <v>1742</v>
      </c>
      <c r="D127" s="166">
        <v>2401</v>
      </c>
      <c r="E127" s="166">
        <v>4143</v>
      </c>
      <c r="F127" s="166">
        <v>4499</v>
      </c>
      <c r="G127" s="166">
        <v>4518</v>
      </c>
      <c r="H127" s="167">
        <f t="shared" si="57"/>
        <v>4.2231607023783813E-3</v>
      </c>
      <c r="I127" s="181">
        <f t="shared" si="35"/>
        <v>1.5935706084959818</v>
      </c>
      <c r="J127" s="167">
        <f t="shared" si="58"/>
        <v>5.9459103770481015E-3</v>
      </c>
      <c r="K127" s="166">
        <v>2311</v>
      </c>
      <c r="L127" s="166">
        <v>4913</v>
      </c>
      <c r="M127" s="166">
        <v>7118</v>
      </c>
      <c r="N127" s="166">
        <v>8816</v>
      </c>
      <c r="O127" s="166">
        <v>8623</v>
      </c>
      <c r="P127" s="167">
        <f t="shared" si="59"/>
        <v>-2.1892014519056313E-2</v>
      </c>
      <c r="Q127" s="181">
        <f t="shared" si="42"/>
        <v>2.7312851579402855</v>
      </c>
      <c r="R127" s="167">
        <f t="shared" si="60"/>
        <v>2.4478417802279223E-3</v>
      </c>
      <c r="S127" s="166">
        <v>4053</v>
      </c>
      <c r="T127" s="166">
        <v>7314</v>
      </c>
      <c r="U127" s="166">
        <v>11261</v>
      </c>
      <c r="V127" s="166">
        <v>13315</v>
      </c>
      <c r="W127" s="166">
        <v>13141</v>
      </c>
      <c r="X127" s="167">
        <f t="shared" si="61"/>
        <v>-1.3067968456627832E-2</v>
      </c>
      <c r="Y127" s="181">
        <f t="shared" si="43"/>
        <v>2.2422896619787811</v>
      </c>
      <c r="Z127" s="167">
        <f t="shared" si="56"/>
        <v>2.9815670264793123E-3</v>
      </c>
    </row>
    <row r="128" spans="1:26" x14ac:dyDescent="0.25">
      <c r="A128" s="164" t="s">
        <v>119</v>
      </c>
      <c r="B128" s="165" t="s">
        <v>119</v>
      </c>
      <c r="C128" s="166">
        <v>1315</v>
      </c>
      <c r="D128" s="166">
        <v>2102</v>
      </c>
      <c r="E128" s="166">
        <v>2821</v>
      </c>
      <c r="F128" s="166">
        <v>3024</v>
      </c>
      <c r="G128" s="166">
        <v>2762</v>
      </c>
      <c r="H128" s="167">
        <f t="shared" si="57"/>
        <v>-8.6640211640211628E-2</v>
      </c>
      <c r="I128" s="181">
        <f t="shared" si="35"/>
        <v>1.1003802281368822</v>
      </c>
      <c r="J128" s="167">
        <f t="shared" si="58"/>
        <v>3.6349279463051918E-3</v>
      </c>
      <c r="K128" s="166">
        <v>1591</v>
      </c>
      <c r="L128" s="166">
        <v>5032</v>
      </c>
      <c r="M128" s="166">
        <v>5703</v>
      </c>
      <c r="N128" s="166">
        <v>5756</v>
      </c>
      <c r="O128" s="166">
        <v>5825</v>
      </c>
      <c r="P128" s="167">
        <f t="shared" si="59"/>
        <v>1.1987491313412146E-2</v>
      </c>
      <c r="Q128" s="181">
        <f t="shared" si="42"/>
        <v>2.6612193588937774</v>
      </c>
      <c r="R128" s="167">
        <f t="shared" si="60"/>
        <v>1.6535635358723932E-3</v>
      </c>
      <c r="S128" s="166">
        <v>2906</v>
      </c>
      <c r="T128" s="166">
        <v>7134</v>
      </c>
      <c r="U128" s="166">
        <v>8524</v>
      </c>
      <c r="V128" s="166">
        <v>8780</v>
      </c>
      <c r="W128" s="166">
        <v>8587</v>
      </c>
      <c r="X128" s="167">
        <f t="shared" si="61"/>
        <v>-2.1981776765375827E-2</v>
      </c>
      <c r="Y128" s="181">
        <f t="shared" si="43"/>
        <v>1.9549208534067448</v>
      </c>
      <c r="Z128" s="167">
        <f t="shared" si="56"/>
        <v>2.2568934671618559E-3</v>
      </c>
    </row>
    <row r="129" spans="1:26" x14ac:dyDescent="0.25">
      <c r="A129" s="164" t="s">
        <v>126</v>
      </c>
      <c r="B129" s="165" t="s">
        <v>126</v>
      </c>
      <c r="C129" s="166">
        <v>369</v>
      </c>
      <c r="D129" s="166">
        <v>359</v>
      </c>
      <c r="E129" s="166">
        <v>801</v>
      </c>
      <c r="F129" s="166">
        <v>649</v>
      </c>
      <c r="G129" s="166">
        <v>650</v>
      </c>
      <c r="H129" s="167">
        <f t="shared" si="57"/>
        <v>1.5408320493066618E-3</v>
      </c>
      <c r="I129" s="181">
        <f t="shared" si="35"/>
        <v>0.7615176151761518</v>
      </c>
      <c r="J129" s="167">
        <f t="shared" si="58"/>
        <v>8.5543199315654401E-4</v>
      </c>
      <c r="K129" s="166">
        <v>415</v>
      </c>
      <c r="L129" s="166">
        <v>974</v>
      </c>
      <c r="M129" s="166">
        <v>1772</v>
      </c>
      <c r="N129" s="166">
        <v>1988</v>
      </c>
      <c r="O129" s="166">
        <v>1706</v>
      </c>
      <c r="P129" s="167">
        <f t="shared" si="59"/>
        <v>-0.14185110663983902</v>
      </c>
      <c r="Q129" s="181">
        <f t="shared" si="42"/>
        <v>3.1108433734939762</v>
      </c>
      <c r="R129" s="167">
        <f t="shared" si="60"/>
        <v>4.8428830767352835E-4</v>
      </c>
      <c r="S129" s="166">
        <v>784</v>
      </c>
      <c r="T129" s="166">
        <v>1333</v>
      </c>
      <c r="U129" s="166">
        <v>2573</v>
      </c>
      <c r="V129" s="166">
        <v>2637</v>
      </c>
      <c r="W129" s="166">
        <v>2356</v>
      </c>
      <c r="X129" s="167">
        <f t="shared" si="61"/>
        <v>-0.10656048540007579</v>
      </c>
      <c r="Y129" s="181">
        <f t="shared" si="43"/>
        <v>2.0051020408163267</v>
      </c>
      <c r="Z129" s="167">
        <f t="shared" si="56"/>
        <v>6.812513950032209E-4</v>
      </c>
    </row>
    <row r="130" spans="1:26" x14ac:dyDescent="0.25">
      <c r="A130" s="164" t="s">
        <v>122</v>
      </c>
      <c r="B130" s="165" t="s">
        <v>122</v>
      </c>
      <c r="C130" s="166">
        <v>323</v>
      </c>
      <c r="D130" s="166">
        <v>312</v>
      </c>
      <c r="E130" s="166">
        <v>635</v>
      </c>
      <c r="F130" s="166">
        <v>527</v>
      </c>
      <c r="G130" s="166">
        <v>600</v>
      </c>
      <c r="H130" s="167">
        <f t="shared" si="57"/>
        <v>0.13851992409867164</v>
      </c>
      <c r="I130" s="181">
        <f t="shared" si="35"/>
        <v>0.85758513931888536</v>
      </c>
      <c r="J130" s="167">
        <f t="shared" si="58"/>
        <v>7.8962953214450221E-4</v>
      </c>
      <c r="K130" s="166">
        <v>489</v>
      </c>
      <c r="L130" s="166">
        <v>1045</v>
      </c>
      <c r="M130" s="166">
        <v>1201</v>
      </c>
      <c r="N130" s="166">
        <v>1408</v>
      </c>
      <c r="O130" s="166">
        <v>1497</v>
      </c>
      <c r="P130" s="167">
        <f t="shared" si="59"/>
        <v>6.3210227272727293E-2</v>
      </c>
      <c r="Q130" s="181">
        <f t="shared" si="42"/>
        <v>2.0613496932515338</v>
      </c>
      <c r="R130" s="167">
        <f t="shared" si="60"/>
        <v>4.2495873187999527E-4</v>
      </c>
      <c r="S130" s="166">
        <v>812</v>
      </c>
      <c r="T130" s="166">
        <v>1357</v>
      </c>
      <c r="U130" s="166">
        <v>1836</v>
      </c>
      <c r="V130" s="166">
        <v>1935</v>
      </c>
      <c r="W130" s="166">
        <v>2097</v>
      </c>
      <c r="X130" s="167">
        <f t="shared" si="61"/>
        <v>8.3720930232558111E-2</v>
      </c>
      <c r="Y130" s="181">
        <f t="shared" si="43"/>
        <v>1.5825123152709359</v>
      </c>
      <c r="Z130" s="167">
        <f t="shared" si="56"/>
        <v>4.8611642488375966E-4</v>
      </c>
    </row>
    <row r="131" spans="1:26" x14ac:dyDescent="0.25">
      <c r="A131" s="164" t="s">
        <v>131</v>
      </c>
      <c r="B131" s="165" t="s">
        <v>131</v>
      </c>
      <c r="C131" s="166">
        <v>186</v>
      </c>
      <c r="D131" s="166">
        <v>123</v>
      </c>
      <c r="E131" s="166">
        <v>250</v>
      </c>
      <c r="F131" s="166">
        <v>204</v>
      </c>
      <c r="G131" s="166">
        <v>235</v>
      </c>
      <c r="H131" s="167">
        <f t="shared" si="57"/>
        <v>0.15196078431372539</v>
      </c>
      <c r="I131" s="181">
        <f t="shared" si="35"/>
        <v>0.26344086021505375</v>
      </c>
      <c r="J131" s="167">
        <f t="shared" si="58"/>
        <v>3.0927156675659669E-4</v>
      </c>
      <c r="K131" s="166">
        <v>492</v>
      </c>
      <c r="L131" s="166">
        <v>432</v>
      </c>
      <c r="M131" s="166">
        <v>825</v>
      </c>
      <c r="N131" s="166">
        <v>1138</v>
      </c>
      <c r="O131" s="166">
        <v>1099</v>
      </c>
      <c r="P131" s="167">
        <f t="shared" si="59"/>
        <v>-3.4270650263620417E-2</v>
      </c>
      <c r="Q131" s="181">
        <f t="shared" si="42"/>
        <v>1.2337398373983741</v>
      </c>
      <c r="R131" s="167">
        <f t="shared" si="60"/>
        <v>3.1197705166073137E-4</v>
      </c>
      <c r="S131" s="166">
        <v>678</v>
      </c>
      <c r="T131" s="166">
        <v>555</v>
      </c>
      <c r="U131" s="166">
        <v>1075</v>
      </c>
      <c r="V131" s="166">
        <v>1342</v>
      </c>
      <c r="W131" s="166">
        <v>1334</v>
      </c>
      <c r="X131" s="167">
        <f t="shared" si="61"/>
        <v>-5.9612518628912037E-3</v>
      </c>
      <c r="Y131" s="181">
        <f t="shared" si="43"/>
        <v>0.96755162241887915</v>
      </c>
      <c r="Z131" s="167">
        <f t="shared" si="56"/>
        <v>2.8462699169392246E-4</v>
      </c>
    </row>
    <row r="132" spans="1:26" x14ac:dyDescent="0.25">
      <c r="A132" s="164" t="s">
        <v>134</v>
      </c>
      <c r="B132" s="165" t="s">
        <v>134</v>
      </c>
      <c r="C132" s="166">
        <v>210</v>
      </c>
      <c r="D132" s="166">
        <v>177</v>
      </c>
      <c r="E132" s="166">
        <v>253</v>
      </c>
      <c r="F132" s="166">
        <v>358</v>
      </c>
      <c r="G132" s="166">
        <v>387</v>
      </c>
      <c r="H132" s="167">
        <f t="shared" si="57"/>
        <v>8.1005586592178824E-2</v>
      </c>
      <c r="I132" s="181">
        <f t="shared" si="35"/>
        <v>0.84285714285714275</v>
      </c>
      <c r="J132" s="167">
        <f t="shared" si="58"/>
        <v>5.0931104823320392E-4</v>
      </c>
      <c r="K132" s="166">
        <v>887</v>
      </c>
      <c r="L132" s="166">
        <v>742</v>
      </c>
      <c r="M132" s="166">
        <v>1632</v>
      </c>
      <c r="N132" s="166">
        <v>2097</v>
      </c>
      <c r="O132" s="166">
        <v>2115</v>
      </c>
      <c r="P132" s="167">
        <f t="shared" si="59"/>
        <v>8.5836909871244149E-3</v>
      </c>
      <c r="Q132" s="181">
        <f t="shared" si="42"/>
        <v>1.3844419391206313</v>
      </c>
      <c r="R132" s="167">
        <f t="shared" si="60"/>
        <v>6.0039259714508354E-4</v>
      </c>
      <c r="S132" s="166">
        <v>1097</v>
      </c>
      <c r="T132" s="166">
        <v>919</v>
      </c>
      <c r="U132" s="166">
        <v>1885</v>
      </c>
      <c r="V132" s="166">
        <v>2455</v>
      </c>
      <c r="W132" s="166">
        <v>2502</v>
      </c>
      <c r="X132" s="167">
        <f t="shared" si="61"/>
        <v>1.91446028513238E-2</v>
      </c>
      <c r="Y132" s="181">
        <f t="shared" si="43"/>
        <v>1.2807657247037376</v>
      </c>
      <c r="Z132" s="167">
        <f t="shared" si="56"/>
        <v>4.9909012031911057E-4</v>
      </c>
    </row>
    <row r="133" spans="1:26" x14ac:dyDescent="0.25">
      <c r="A133" s="169" t="s">
        <v>148</v>
      </c>
      <c r="B133" s="170" t="s">
        <v>148</v>
      </c>
      <c r="C133" s="171">
        <f>C125-SUM(C126:C132)</f>
        <v>19407</v>
      </c>
      <c r="D133" s="171">
        <f>D125-SUM(D126:D132)</f>
        <v>22363</v>
      </c>
      <c r="E133" s="171">
        <f>E125-SUM(E126:E132)</f>
        <v>30462</v>
      </c>
      <c r="F133" s="171">
        <f>F125-SUM(F126:F132)</f>
        <v>20575</v>
      </c>
      <c r="G133" s="171">
        <f>G125-SUM(G126:G132)</f>
        <v>21359</v>
      </c>
      <c r="H133" s="172">
        <f t="shared" si="57"/>
        <v>3.8104495747266043E-2</v>
      </c>
      <c r="I133" s="182">
        <f t="shared" si="35"/>
        <v>0.10058226413149884</v>
      </c>
      <c r="J133" s="172">
        <f t="shared" si="58"/>
        <v>2.8109495295124038E-2</v>
      </c>
      <c r="K133" s="171">
        <f>K125-SUM(K126:K132)</f>
        <v>8267</v>
      </c>
      <c r="L133" s="171">
        <f>L125-SUM(L126:L132)</f>
        <v>15390</v>
      </c>
      <c r="M133" s="171">
        <f>M125-SUM(M126:M132)</f>
        <v>26712</v>
      </c>
      <c r="N133" s="171">
        <f>N125-SUM(N126:N132)</f>
        <v>30137</v>
      </c>
      <c r="O133" s="171">
        <f>O125-SUM(O126:O132)</f>
        <v>32365</v>
      </c>
      <c r="P133" s="172">
        <f t="shared" si="59"/>
        <v>7.3929057304974011E-2</v>
      </c>
      <c r="Q133" s="182">
        <f t="shared" si="42"/>
        <v>2.9149631063263577</v>
      </c>
      <c r="R133" s="172">
        <f t="shared" si="60"/>
        <v>9.1875680409459239E-3</v>
      </c>
      <c r="S133" s="171">
        <f>S125-SUM(S126:S132)</f>
        <v>27674</v>
      </c>
      <c r="T133" s="171">
        <f>T125-SUM(T126:T132)</f>
        <v>37753</v>
      </c>
      <c r="U133" s="171">
        <f>U125-SUM(U126:U132)</f>
        <v>57174</v>
      </c>
      <c r="V133" s="171">
        <f>V125-SUM(V126:V132)</f>
        <v>50712</v>
      </c>
      <c r="W133" s="171">
        <f>W125-SUM(W126:W132)</f>
        <v>53724</v>
      </c>
      <c r="X133" s="172">
        <f t="shared" si="61"/>
        <v>5.9394226218646429E-2</v>
      </c>
      <c r="Y133" s="182">
        <f t="shared" si="43"/>
        <v>0.9413167594131675</v>
      </c>
      <c r="Z133" s="172">
        <f t="shared" si="56"/>
        <v>1.513791964940309E-2</v>
      </c>
    </row>
    <row r="134" spans="1:26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</row>
    <row r="135" spans="1:26" x14ac:dyDescent="0.25">
      <c r="A135" s="1" t="s">
        <v>0</v>
      </c>
      <c r="B135" s="158" t="s">
        <v>71</v>
      </c>
      <c r="C135" s="178">
        <f>C136+C139</f>
        <v>0</v>
      </c>
      <c r="D135" s="178">
        <f>D136+D139</f>
        <v>29237</v>
      </c>
      <c r="E135" s="178">
        <f>E136+E139</f>
        <v>47385</v>
      </c>
      <c r="F135" s="178">
        <f>F136+F139</f>
        <v>49008</v>
      </c>
      <c r="G135" s="178">
        <f>G136+G139</f>
        <v>52595</v>
      </c>
      <c r="H135" s="179">
        <f>IFERROR(G135/F135-1,"-")</f>
        <v>7.3192131896833157E-2</v>
      </c>
      <c r="I135" s="179" t="str">
        <f t="shared" si="35"/>
        <v>-</v>
      </c>
      <c r="J135" s="179">
        <f>G135/G$9</f>
        <v>6.9217608738566819E-2</v>
      </c>
      <c r="K135" s="178">
        <f>K136+K139</f>
        <v>0</v>
      </c>
      <c r="L135" s="178">
        <f>L136+L139</f>
        <v>87353</v>
      </c>
      <c r="M135" s="178">
        <f>M136+M139</f>
        <v>163913</v>
      </c>
      <c r="N135" s="178">
        <f>N136+N139</f>
        <v>182213</v>
      </c>
      <c r="O135" s="178">
        <f>O136+O139</f>
        <v>183875</v>
      </c>
      <c r="P135" s="179">
        <f>IFERROR(O135/N135-1,"-")</f>
        <v>9.1211933286867719E-3</v>
      </c>
      <c r="Q135" s="179" t="str">
        <f t="shared" si="42"/>
        <v>-</v>
      </c>
      <c r="R135" s="179">
        <f>O135/O$9</f>
        <v>5.2197252387731555E-2</v>
      </c>
      <c r="S135" s="178">
        <f>S136+S139</f>
        <v>77095</v>
      </c>
      <c r="T135" s="178">
        <f>T136+T139</f>
        <v>116590</v>
      </c>
      <c r="U135" s="178">
        <f>U136+U139</f>
        <v>211298</v>
      </c>
      <c r="V135" s="178">
        <f>V136+V139</f>
        <v>231221</v>
      </c>
      <c r="W135" s="178">
        <f>W136+W139</f>
        <v>236470</v>
      </c>
      <c r="X135" s="179">
        <f>IFERROR(W135/V135-1,"-")</f>
        <v>2.2701225234732059E-2</v>
      </c>
      <c r="Y135" s="179">
        <f t="shared" si="43"/>
        <v>2.0672546857772875</v>
      </c>
      <c r="Z135" s="179">
        <f t="shared" ref="Z135:Z147" si="62">U135/U$9</f>
        <v>5.5945222410179005E-2</v>
      </c>
    </row>
    <row r="136" spans="1:26" x14ac:dyDescent="0.25">
      <c r="A136" s="1" t="s">
        <v>99</v>
      </c>
      <c r="B136" s="161" t="s">
        <v>100</v>
      </c>
      <c r="C136" s="162">
        <v>0</v>
      </c>
      <c r="D136" s="162">
        <v>9339</v>
      </c>
      <c r="E136" s="162">
        <v>5486</v>
      </c>
      <c r="F136" s="162">
        <v>7999</v>
      </c>
      <c r="G136" s="162">
        <v>6701</v>
      </c>
      <c r="H136" s="163">
        <f>IFERROR(G136/F136-1,"-")</f>
        <v>-0.16227028378547315</v>
      </c>
      <c r="I136" s="180" t="str">
        <f t="shared" si="35"/>
        <v>-</v>
      </c>
      <c r="J136" s="163">
        <f>G136/G$9</f>
        <v>8.8188458248338493E-3</v>
      </c>
      <c r="K136" s="162">
        <v>0</v>
      </c>
      <c r="L136" s="162">
        <v>28431</v>
      </c>
      <c r="M136" s="162">
        <v>15843</v>
      </c>
      <c r="N136" s="162">
        <v>16817</v>
      </c>
      <c r="O136" s="162">
        <v>14783</v>
      </c>
      <c r="P136" s="163">
        <f>IFERROR(O136/N136-1,"-")</f>
        <v>-0.12094903966224657</v>
      </c>
      <c r="Q136" s="180" t="str">
        <f t="shared" si="42"/>
        <v>-</v>
      </c>
      <c r="R136" s="163">
        <f>O136/O$9</f>
        <v>4.1965029615110023E-3</v>
      </c>
      <c r="S136" s="162">
        <v>22432</v>
      </c>
      <c r="T136" s="162">
        <v>37770</v>
      </c>
      <c r="U136" s="162">
        <v>21329</v>
      </c>
      <c r="V136" s="162">
        <v>24816</v>
      </c>
      <c r="W136" s="162">
        <v>21484</v>
      </c>
      <c r="X136" s="163">
        <f>IFERROR(W136/V136-1,"-")</f>
        <v>-0.13426821405544809</v>
      </c>
      <c r="Y136" s="180">
        <f t="shared" si="43"/>
        <v>-4.2261055634807421E-2</v>
      </c>
      <c r="Z136" s="163">
        <f t="shared" si="62"/>
        <v>5.6472642845020208E-3</v>
      </c>
    </row>
    <row r="137" spans="1:26" x14ac:dyDescent="0.25">
      <c r="A137" s="164" t="s">
        <v>106</v>
      </c>
      <c r="B137" s="165" t="s">
        <v>106</v>
      </c>
      <c r="C137" s="166">
        <v>0</v>
      </c>
      <c r="D137" s="166">
        <v>9339</v>
      </c>
      <c r="E137" s="166">
        <v>5415</v>
      </c>
      <c r="F137" s="166">
        <v>7999</v>
      </c>
      <c r="G137" s="166">
        <v>6701</v>
      </c>
      <c r="H137" s="167">
        <f>IFERROR(G137/F137-1,"-")</f>
        <v>-0.16227028378547315</v>
      </c>
      <c r="I137" s="181" t="str">
        <f t="shared" si="35"/>
        <v>-</v>
      </c>
      <c r="J137" s="167">
        <f>G137/G$9</f>
        <v>8.8188458248338493E-3</v>
      </c>
      <c r="K137" s="166">
        <v>0</v>
      </c>
      <c r="L137" s="166">
        <v>20185</v>
      </c>
      <c r="M137" s="166">
        <v>9264</v>
      </c>
      <c r="N137" s="166">
        <v>8253</v>
      </c>
      <c r="O137" s="166">
        <v>6321</v>
      </c>
      <c r="P137" s="167">
        <f>IFERROR(O137/N137-1,"-")</f>
        <v>-0.23409669211195927</v>
      </c>
      <c r="Q137" s="181" t="str">
        <f t="shared" si="42"/>
        <v>-</v>
      </c>
      <c r="R137" s="167">
        <f>O137/O$9</f>
        <v>1.7943648257938878E-3</v>
      </c>
      <c r="S137" s="166">
        <v>16366</v>
      </c>
      <c r="T137" s="166">
        <v>29524</v>
      </c>
      <c r="U137" s="166">
        <v>14679</v>
      </c>
      <c r="V137" s="166">
        <v>16252</v>
      </c>
      <c r="W137" s="166">
        <v>13022</v>
      </c>
      <c r="X137" s="167">
        <f>IFERROR(W137/V137-1,"-")</f>
        <v>-0.19874476987447698</v>
      </c>
      <c r="Y137" s="181">
        <f t="shared" si="43"/>
        <v>-0.20432604179396308</v>
      </c>
      <c r="Z137" s="167">
        <f t="shared" si="62"/>
        <v>3.8865484754186863E-3</v>
      </c>
    </row>
    <row r="138" spans="1:26" x14ac:dyDescent="0.25">
      <c r="A138" s="164" t="s">
        <v>103</v>
      </c>
      <c r="B138" s="165" t="s">
        <v>103</v>
      </c>
      <c r="C138" s="166">
        <v>0</v>
      </c>
      <c r="D138" s="166">
        <v>0</v>
      </c>
      <c r="E138" s="166">
        <v>71</v>
      </c>
      <c r="F138" s="166">
        <v>0</v>
      </c>
      <c r="G138" s="166">
        <v>0</v>
      </c>
      <c r="H138" s="167" t="str">
        <f>IFERROR(G138/F138-1,"-")</f>
        <v>-</v>
      </c>
      <c r="I138" s="181" t="str">
        <f t="shared" ref="I138:I161" si="63">IFERROR(G138/C138-1,"-")</f>
        <v>-</v>
      </c>
      <c r="J138" s="167">
        <f>G138/G$9</f>
        <v>0</v>
      </c>
      <c r="K138" s="166">
        <v>0</v>
      </c>
      <c r="L138" s="166">
        <v>8246</v>
      </c>
      <c r="M138" s="166">
        <v>6579</v>
      </c>
      <c r="N138" s="166">
        <v>8564</v>
      </c>
      <c r="O138" s="166">
        <v>8462</v>
      </c>
      <c r="P138" s="167">
        <f>IFERROR(O138/N138-1,"-")</f>
        <v>-1.1910322279308772E-2</v>
      </c>
      <c r="Q138" s="181" t="str">
        <f t="shared" si="42"/>
        <v>-</v>
      </c>
      <c r="R138" s="167">
        <f>O138/O$9</f>
        <v>2.4021381357171145E-3</v>
      </c>
      <c r="S138" s="166">
        <v>6066</v>
      </c>
      <c r="T138" s="166">
        <v>8246</v>
      </c>
      <c r="U138" s="166">
        <v>6650</v>
      </c>
      <c r="V138" s="166">
        <v>8564</v>
      </c>
      <c r="W138" s="166">
        <v>8462</v>
      </c>
      <c r="X138" s="167">
        <f>IFERROR(W138/V138-1,"-")</f>
        <v>-1.1910322279308772E-2</v>
      </c>
      <c r="Y138" s="181">
        <f t="shared" si="43"/>
        <v>0.39498846027035928</v>
      </c>
      <c r="Z138" s="167">
        <f t="shared" si="62"/>
        <v>1.7607158090833343E-3</v>
      </c>
    </row>
    <row r="139" spans="1:26" x14ac:dyDescent="0.25">
      <c r="A139" s="1" t="s">
        <v>149</v>
      </c>
      <c r="B139" s="161" t="s">
        <v>110</v>
      </c>
      <c r="C139" s="162">
        <v>0</v>
      </c>
      <c r="D139" s="162">
        <v>19898</v>
      </c>
      <c r="E139" s="162">
        <v>41899</v>
      </c>
      <c r="F139" s="162">
        <v>41009</v>
      </c>
      <c r="G139" s="162">
        <v>45894</v>
      </c>
      <c r="H139" s="163">
        <f>IFERROR(G139/F139-1,"-")</f>
        <v>0.11912019312833766</v>
      </c>
      <c r="I139" s="180" t="str">
        <f t="shared" si="63"/>
        <v>-</v>
      </c>
      <c r="J139" s="163">
        <f>G139/G$9</f>
        <v>6.0398762913732973E-2</v>
      </c>
      <c r="K139" s="162">
        <v>0</v>
      </c>
      <c r="L139" s="162">
        <v>58922</v>
      </c>
      <c r="M139" s="162">
        <v>148070</v>
      </c>
      <c r="N139" s="162">
        <v>165396</v>
      </c>
      <c r="O139" s="162">
        <v>169092</v>
      </c>
      <c r="P139" s="163">
        <f>IFERROR(O139/N139-1,"-")</f>
        <v>2.2346368715083775E-2</v>
      </c>
      <c r="Q139" s="180" t="str">
        <f t="shared" si="42"/>
        <v>-</v>
      </c>
      <c r="R139" s="163">
        <f>O139/O$9</f>
        <v>4.8000749426220547E-2</v>
      </c>
      <c r="S139" s="162">
        <v>54663</v>
      </c>
      <c r="T139" s="162">
        <v>78820</v>
      </c>
      <c r="U139" s="162">
        <v>189969</v>
      </c>
      <c r="V139" s="162">
        <v>206405</v>
      </c>
      <c r="W139" s="162">
        <v>214986</v>
      </c>
      <c r="X139" s="163">
        <f>IFERROR(W139/V139-1,"-")</f>
        <v>4.1573605290569526E-2</v>
      </c>
      <c r="Y139" s="180">
        <f t="shared" si="43"/>
        <v>2.9329345260962625</v>
      </c>
      <c r="Z139" s="163">
        <f t="shared" si="62"/>
        <v>5.0297958125676979E-2</v>
      </c>
    </row>
    <row r="140" spans="1:26" x14ac:dyDescent="0.25">
      <c r="A140" s="164" t="s">
        <v>113</v>
      </c>
      <c r="B140" s="165" t="s">
        <v>113</v>
      </c>
      <c r="C140" s="166">
        <v>0</v>
      </c>
      <c r="D140" s="166">
        <v>8616</v>
      </c>
      <c r="E140" s="166">
        <v>22074</v>
      </c>
      <c r="F140" s="166">
        <v>20929</v>
      </c>
      <c r="G140" s="166">
        <v>26456</v>
      </c>
      <c r="H140" s="167">
        <f t="shared" ref="H140:H147" si="64">IFERROR(G140/F140-1,"-")</f>
        <v>0.26408332935161738</v>
      </c>
      <c r="I140" s="181" t="str">
        <f t="shared" si="63"/>
        <v>-</v>
      </c>
      <c r="J140" s="167">
        <f t="shared" ref="J140:J147" si="65">G140/G$9</f>
        <v>3.4817398170691585E-2</v>
      </c>
      <c r="K140" s="166">
        <v>0</v>
      </c>
      <c r="L140" s="166">
        <v>13586</v>
      </c>
      <c r="M140" s="166">
        <v>60071</v>
      </c>
      <c r="N140" s="166">
        <v>68833</v>
      </c>
      <c r="O140" s="166">
        <v>71052</v>
      </c>
      <c r="P140" s="167">
        <f t="shared" ref="P140:P147" si="66">IFERROR(O140/N140-1,"-")</f>
        <v>3.2237444249124669E-2</v>
      </c>
      <c r="Q140" s="181" t="str">
        <f t="shared" si="42"/>
        <v>-</v>
      </c>
      <c r="R140" s="167">
        <f t="shared" ref="R140:R147" si="67">O140/O$9</f>
        <v>2.0169784781254124E-2</v>
      </c>
      <c r="S140" s="166">
        <v>18862</v>
      </c>
      <c r="T140" s="166">
        <v>22202</v>
      </c>
      <c r="U140" s="166">
        <v>82145</v>
      </c>
      <c r="V140" s="166">
        <v>89762</v>
      </c>
      <c r="W140" s="166">
        <v>97508</v>
      </c>
      <c r="X140" s="167">
        <f t="shared" ref="X140:X147" si="68">IFERROR(W140/V140-1,"-")</f>
        <v>8.6294868652659229E-2</v>
      </c>
      <c r="Y140" s="181">
        <f t="shared" si="43"/>
        <v>4.1695472378326794</v>
      </c>
      <c r="Z140" s="167">
        <f t="shared" si="62"/>
        <v>2.1749473704834661E-2</v>
      </c>
    </row>
    <row r="141" spans="1:26" x14ac:dyDescent="0.25">
      <c r="A141" s="164" t="s">
        <v>116</v>
      </c>
      <c r="B141" s="165" t="s">
        <v>116</v>
      </c>
      <c r="C141" s="166">
        <v>0</v>
      </c>
      <c r="D141" s="166">
        <v>1411</v>
      </c>
      <c r="E141" s="166">
        <v>1553</v>
      </c>
      <c r="F141" s="166">
        <v>1880</v>
      </c>
      <c r="G141" s="166">
        <v>1664</v>
      </c>
      <c r="H141" s="167">
        <f t="shared" si="64"/>
        <v>-0.11489361702127665</v>
      </c>
      <c r="I141" s="181" t="str">
        <f t="shared" si="63"/>
        <v>-</v>
      </c>
      <c r="J141" s="167">
        <f t="shared" si="65"/>
        <v>2.1899059024807527E-3</v>
      </c>
      <c r="K141" s="166">
        <v>0</v>
      </c>
      <c r="L141" s="166">
        <v>6291</v>
      </c>
      <c r="M141" s="166">
        <v>11965</v>
      </c>
      <c r="N141" s="166">
        <v>16264</v>
      </c>
      <c r="O141" s="166">
        <v>16937</v>
      </c>
      <c r="P141" s="167">
        <f t="shared" si="66"/>
        <v>4.1379734382685607E-2</v>
      </c>
      <c r="Q141" s="181" t="str">
        <f t="shared" si="42"/>
        <v>-</v>
      </c>
      <c r="R141" s="167">
        <f t="shared" si="67"/>
        <v>4.8079666278232997E-3</v>
      </c>
      <c r="S141" s="166">
        <v>5188</v>
      </c>
      <c r="T141" s="166">
        <v>7702</v>
      </c>
      <c r="U141" s="166">
        <v>13518</v>
      </c>
      <c r="V141" s="166">
        <v>18144</v>
      </c>
      <c r="W141" s="166">
        <v>18601</v>
      </c>
      <c r="X141" s="167">
        <f t="shared" si="68"/>
        <v>2.5187389770723101E-2</v>
      </c>
      <c r="Y141" s="181">
        <f t="shared" si="43"/>
        <v>2.5853893600616806</v>
      </c>
      <c r="Z141" s="167">
        <f t="shared" si="62"/>
        <v>3.5791513243892499E-3</v>
      </c>
    </row>
    <row r="142" spans="1:26" x14ac:dyDescent="0.25">
      <c r="A142" s="164" t="s">
        <v>119</v>
      </c>
      <c r="B142" s="165" t="s">
        <v>119</v>
      </c>
      <c r="C142" s="166">
        <v>0</v>
      </c>
      <c r="D142" s="166">
        <v>2188</v>
      </c>
      <c r="E142" s="166">
        <v>5813</v>
      </c>
      <c r="F142" s="166">
        <v>5043</v>
      </c>
      <c r="G142" s="166">
        <v>5027</v>
      </c>
      <c r="H142" s="167">
        <f t="shared" si="64"/>
        <v>-3.1727146539758388E-3</v>
      </c>
      <c r="I142" s="181" t="str">
        <f t="shared" si="63"/>
        <v>-</v>
      </c>
      <c r="J142" s="167">
        <f t="shared" si="65"/>
        <v>6.6157794301506872E-3</v>
      </c>
      <c r="K142" s="166">
        <v>0</v>
      </c>
      <c r="L142" s="166">
        <v>10850</v>
      </c>
      <c r="M142" s="166">
        <v>17158</v>
      </c>
      <c r="N142" s="166">
        <v>16033</v>
      </c>
      <c r="O142" s="166">
        <v>15511</v>
      </c>
      <c r="P142" s="167">
        <f t="shared" si="66"/>
        <v>-3.2557849435539188E-2</v>
      </c>
      <c r="Q142" s="181" t="str">
        <f t="shared" si="42"/>
        <v>-</v>
      </c>
      <c r="R142" s="167">
        <f t="shared" si="67"/>
        <v>4.4031629192990028E-3</v>
      </c>
      <c r="S142" s="166">
        <v>5864</v>
      </c>
      <c r="T142" s="166">
        <v>13038</v>
      </c>
      <c r="U142" s="166">
        <v>22971</v>
      </c>
      <c r="V142" s="166">
        <v>21076</v>
      </c>
      <c r="W142" s="166">
        <v>20538</v>
      </c>
      <c r="X142" s="167">
        <f t="shared" si="68"/>
        <v>-2.5526665401404469E-2</v>
      </c>
      <c r="Y142" s="181">
        <f t="shared" si="43"/>
        <v>2.5023874488403819</v>
      </c>
      <c r="Z142" s="167">
        <f t="shared" si="62"/>
        <v>6.0820154662335748E-3</v>
      </c>
    </row>
    <row r="143" spans="1:26" x14ac:dyDescent="0.25">
      <c r="A143" s="164" t="s">
        <v>126</v>
      </c>
      <c r="B143" s="165" t="s">
        <v>126</v>
      </c>
      <c r="C143" s="166">
        <v>0</v>
      </c>
      <c r="D143" s="166">
        <v>2549</v>
      </c>
      <c r="E143" s="166">
        <v>4370</v>
      </c>
      <c r="F143" s="166">
        <v>3569</v>
      </c>
      <c r="G143" s="166">
        <v>2063</v>
      </c>
      <c r="H143" s="167">
        <f t="shared" si="64"/>
        <v>-0.42196693751751191</v>
      </c>
      <c r="I143" s="181" t="str">
        <f t="shared" si="63"/>
        <v>-</v>
      </c>
      <c r="J143" s="167">
        <f t="shared" si="65"/>
        <v>2.7150095413568469E-3</v>
      </c>
      <c r="K143" s="166">
        <v>0</v>
      </c>
      <c r="L143" s="166">
        <v>1210</v>
      </c>
      <c r="M143" s="166">
        <v>3896</v>
      </c>
      <c r="N143" s="166">
        <v>3830</v>
      </c>
      <c r="O143" s="166">
        <v>3069</v>
      </c>
      <c r="P143" s="167">
        <f t="shared" si="66"/>
        <v>-0.19869451697127938</v>
      </c>
      <c r="Q143" s="181" t="str">
        <f t="shared" si="42"/>
        <v>-</v>
      </c>
      <c r="R143" s="167">
        <f t="shared" si="67"/>
        <v>8.7120798138924887E-4</v>
      </c>
      <c r="S143" s="166">
        <v>782</v>
      </c>
      <c r="T143" s="166">
        <v>3759</v>
      </c>
      <c r="U143" s="166">
        <v>8266</v>
      </c>
      <c r="V143" s="166">
        <v>7399</v>
      </c>
      <c r="W143" s="166">
        <v>5132</v>
      </c>
      <c r="X143" s="167">
        <f t="shared" si="68"/>
        <v>-0.30639275577780778</v>
      </c>
      <c r="Y143" s="181">
        <f t="shared" si="43"/>
        <v>5.5626598465473149</v>
      </c>
      <c r="Z143" s="167">
        <f t="shared" si="62"/>
        <v>2.1885829891553146E-3</v>
      </c>
    </row>
    <row r="144" spans="1:26" x14ac:dyDescent="0.25">
      <c r="A144" s="164" t="s">
        <v>122</v>
      </c>
      <c r="B144" s="165" t="s">
        <v>122</v>
      </c>
      <c r="C144" s="166">
        <v>0</v>
      </c>
      <c r="D144" s="166">
        <v>902</v>
      </c>
      <c r="E144" s="166">
        <v>435</v>
      </c>
      <c r="F144" s="166">
        <v>1205</v>
      </c>
      <c r="G144" s="166">
        <v>791</v>
      </c>
      <c r="H144" s="167">
        <f t="shared" si="64"/>
        <v>-0.34356846473029046</v>
      </c>
      <c r="I144" s="181" t="str">
        <f t="shared" si="63"/>
        <v>-</v>
      </c>
      <c r="J144" s="167">
        <f t="shared" si="65"/>
        <v>1.0409949332105021E-3</v>
      </c>
      <c r="K144" s="166">
        <v>0</v>
      </c>
      <c r="L144" s="166">
        <v>1918</v>
      </c>
      <c r="M144" s="166">
        <v>3253</v>
      </c>
      <c r="N144" s="166">
        <v>3513</v>
      </c>
      <c r="O144" s="166">
        <v>3959</v>
      </c>
      <c r="P144" s="167">
        <f t="shared" si="66"/>
        <v>0.12695701679476223</v>
      </c>
      <c r="Q144" s="181" t="str">
        <f t="shared" si="42"/>
        <v>-</v>
      </c>
      <c r="R144" s="167">
        <f t="shared" si="67"/>
        <v>1.1238554572564471E-3</v>
      </c>
      <c r="S144" s="166">
        <v>1676</v>
      </c>
      <c r="T144" s="166">
        <v>2820</v>
      </c>
      <c r="U144" s="166">
        <v>3688</v>
      </c>
      <c r="V144" s="166">
        <v>4718</v>
      </c>
      <c r="W144" s="166">
        <v>4750</v>
      </c>
      <c r="X144" s="167">
        <f t="shared" si="68"/>
        <v>6.7825349724459638E-3</v>
      </c>
      <c r="Y144" s="181">
        <f t="shared" si="43"/>
        <v>1.8341288782816227</v>
      </c>
      <c r="Z144" s="167">
        <f t="shared" si="62"/>
        <v>9.7646915848110323E-4</v>
      </c>
    </row>
    <row r="145" spans="1:26" x14ac:dyDescent="0.25">
      <c r="A145" s="164" t="s">
        <v>131</v>
      </c>
      <c r="B145" s="165" t="s">
        <v>131</v>
      </c>
      <c r="C145" s="166">
        <v>0</v>
      </c>
      <c r="D145" s="166">
        <v>93</v>
      </c>
      <c r="E145" s="166">
        <v>79</v>
      </c>
      <c r="F145" s="166">
        <v>139</v>
      </c>
      <c r="G145" s="166">
        <v>6</v>
      </c>
      <c r="H145" s="167">
        <f t="shared" si="64"/>
        <v>-0.95683453237410077</v>
      </c>
      <c r="I145" s="181" t="str">
        <f t="shared" si="63"/>
        <v>-</v>
      </c>
      <c r="J145" s="167">
        <f t="shared" si="65"/>
        <v>7.8962953214450213E-6</v>
      </c>
      <c r="K145" s="166">
        <v>0</v>
      </c>
      <c r="L145" s="166">
        <v>1104</v>
      </c>
      <c r="M145" s="166">
        <v>2826</v>
      </c>
      <c r="N145" s="166">
        <v>3108</v>
      </c>
      <c r="O145" s="166">
        <v>3024</v>
      </c>
      <c r="P145" s="167">
        <f t="shared" si="66"/>
        <v>-2.7027027027026973E-2</v>
      </c>
      <c r="Q145" s="181" t="str">
        <f t="shared" si="42"/>
        <v>-</v>
      </c>
      <c r="R145" s="167">
        <f t="shared" si="67"/>
        <v>8.5843367081169387E-4</v>
      </c>
      <c r="S145" s="166">
        <v>1597</v>
      </c>
      <c r="T145" s="166">
        <v>1197</v>
      </c>
      <c r="U145" s="166">
        <v>2905</v>
      </c>
      <c r="V145" s="166">
        <v>3247</v>
      </c>
      <c r="W145" s="166">
        <v>3030</v>
      </c>
      <c r="X145" s="167">
        <f t="shared" si="68"/>
        <v>-6.6830920850015407E-2</v>
      </c>
      <c r="Y145" s="181">
        <f t="shared" si="43"/>
        <v>0.89730745147150914</v>
      </c>
      <c r="Z145" s="167">
        <f t="shared" si="62"/>
        <v>7.6915480081008814E-4</v>
      </c>
    </row>
    <row r="146" spans="1:26" x14ac:dyDescent="0.25">
      <c r="A146" s="164" t="s">
        <v>134</v>
      </c>
      <c r="B146" s="165" t="s">
        <v>134</v>
      </c>
      <c r="C146" s="166">
        <v>0</v>
      </c>
      <c r="D146" s="166">
        <v>75</v>
      </c>
      <c r="E146" s="166">
        <v>49</v>
      </c>
      <c r="F146" s="166">
        <v>93</v>
      </c>
      <c r="G146" s="166">
        <v>54</v>
      </c>
      <c r="H146" s="167">
        <f t="shared" si="64"/>
        <v>-0.41935483870967738</v>
      </c>
      <c r="I146" s="181" t="str">
        <f t="shared" si="63"/>
        <v>-</v>
      </c>
      <c r="J146" s="167">
        <f t="shared" si="65"/>
        <v>7.1066657893005197E-5</v>
      </c>
      <c r="K146" s="166">
        <v>0</v>
      </c>
      <c r="L146" s="166">
        <v>715</v>
      </c>
      <c r="M146" s="166">
        <v>1637</v>
      </c>
      <c r="N146" s="166">
        <v>2213</v>
      </c>
      <c r="O146" s="166">
        <v>2093</v>
      </c>
      <c r="P146" s="167">
        <f t="shared" si="66"/>
        <v>-5.4225033890646146E-2</v>
      </c>
      <c r="Q146" s="181" t="str">
        <f t="shared" si="42"/>
        <v>-</v>
      </c>
      <c r="R146" s="167">
        <f t="shared" si="67"/>
        <v>5.9414737864050106E-4</v>
      </c>
      <c r="S146" s="166">
        <v>3384</v>
      </c>
      <c r="T146" s="166">
        <v>790</v>
      </c>
      <c r="U146" s="166">
        <v>1686</v>
      </c>
      <c r="V146" s="166">
        <v>2306</v>
      </c>
      <c r="W146" s="166">
        <v>2147</v>
      </c>
      <c r="X146" s="167">
        <f t="shared" si="68"/>
        <v>-6.8950563746747573E-2</v>
      </c>
      <c r="Y146" s="181">
        <f t="shared" si="43"/>
        <v>-0.36554373522458627</v>
      </c>
      <c r="Z146" s="167">
        <f t="shared" si="62"/>
        <v>4.4640103069391E-4</v>
      </c>
    </row>
    <row r="147" spans="1:26" x14ac:dyDescent="0.25">
      <c r="A147" s="169" t="s">
        <v>148</v>
      </c>
      <c r="B147" s="170" t="s">
        <v>148</v>
      </c>
      <c r="C147" s="171">
        <f>C139-SUM(C140:C146)</f>
        <v>0</v>
      </c>
      <c r="D147" s="171">
        <f>D139-SUM(D140:D146)</f>
        <v>4064</v>
      </c>
      <c r="E147" s="171">
        <f>E139-SUM(E140:E146)</f>
        <v>7526</v>
      </c>
      <c r="F147" s="171">
        <f>F139-SUM(F140:F146)</f>
        <v>8151</v>
      </c>
      <c r="G147" s="171">
        <f>G139-SUM(G140:G146)</f>
        <v>9833</v>
      </c>
      <c r="H147" s="172">
        <f t="shared" si="64"/>
        <v>0.20635504846031161</v>
      </c>
      <c r="I147" s="182" t="str">
        <f t="shared" si="63"/>
        <v>-</v>
      </c>
      <c r="J147" s="172">
        <f t="shared" si="65"/>
        <v>1.294071198262815E-2</v>
      </c>
      <c r="K147" s="171">
        <f>K139-SUM(K140:K146)</f>
        <v>0</v>
      </c>
      <c r="L147" s="171">
        <f>L139-SUM(L140:L146)</f>
        <v>23248</v>
      </c>
      <c r="M147" s="171">
        <f>M139-SUM(M140:M146)</f>
        <v>47264</v>
      </c>
      <c r="N147" s="171">
        <f>N139-SUM(N140:N146)</f>
        <v>51602</v>
      </c>
      <c r="O147" s="171">
        <f>O139-SUM(O140:O146)</f>
        <v>53447</v>
      </c>
      <c r="P147" s="172">
        <f t="shared" si="66"/>
        <v>3.575442812294094E-2</v>
      </c>
      <c r="Q147" s="182" t="str">
        <f t="shared" si="42"/>
        <v>-</v>
      </c>
      <c r="R147" s="172">
        <f t="shared" si="67"/>
        <v>1.5172190609746231E-2</v>
      </c>
      <c r="S147" s="171">
        <f>S139-SUM(S140:S146)</f>
        <v>17310</v>
      </c>
      <c r="T147" s="171">
        <f>T139-SUM(T140:T146)</f>
        <v>27312</v>
      </c>
      <c r="U147" s="171">
        <f>U139-SUM(U140:U146)</f>
        <v>54790</v>
      </c>
      <c r="V147" s="171">
        <f>V139-SUM(V140:V146)</f>
        <v>59753</v>
      </c>
      <c r="W147" s="171">
        <f>W139-SUM(W140:W146)</f>
        <v>63280</v>
      </c>
      <c r="X147" s="172">
        <f t="shared" si="68"/>
        <v>5.9026325038073368E-2</v>
      </c>
      <c r="Y147" s="182">
        <f t="shared" si="43"/>
        <v>2.6556903523974582</v>
      </c>
      <c r="Z147" s="172">
        <f t="shared" si="62"/>
        <v>1.4506709651079081E-2</v>
      </c>
    </row>
    <row r="148" spans="1:26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</row>
    <row r="149" spans="1:26" x14ac:dyDescent="0.25">
      <c r="A149" s="1" t="s">
        <v>0</v>
      </c>
      <c r="B149" s="158" t="s">
        <v>71</v>
      </c>
      <c r="C149" s="178">
        <f>C150+C153</f>
        <v>11846</v>
      </c>
      <c r="D149" s="178">
        <f>D150+D153</f>
        <v>15189</v>
      </c>
      <c r="E149" s="178">
        <f>E150+E153</f>
        <v>30370</v>
      </c>
      <c r="F149" s="178">
        <f>F150+F153</f>
        <v>30714</v>
      </c>
      <c r="G149" s="178">
        <f>G150+G153</f>
        <v>35796</v>
      </c>
      <c r="H149" s="179">
        <f>IFERROR(G149/F149-1,"-")</f>
        <v>0.1654620042977144</v>
      </c>
      <c r="I149" s="179">
        <f t="shared" si="63"/>
        <v>2.0217795036299173</v>
      </c>
      <c r="J149" s="179">
        <f>G149/G$9</f>
        <v>4.7109297887741E-2</v>
      </c>
      <c r="K149" s="178">
        <f>K150+K153</f>
        <v>30203</v>
      </c>
      <c r="L149" s="178">
        <f>L150+L153</f>
        <v>55599</v>
      </c>
      <c r="M149" s="178">
        <f>M150+M153</f>
        <v>77698</v>
      </c>
      <c r="N149" s="178">
        <f>N150+N153</f>
        <v>83136</v>
      </c>
      <c r="O149" s="178">
        <f>O150+O153</f>
        <v>81318</v>
      </c>
      <c r="P149" s="179">
        <f>IFERROR(O149/N149-1,"-")</f>
        <v>-2.1867782909930744E-2</v>
      </c>
      <c r="Q149" s="179">
        <f t="shared" si="42"/>
        <v>1.6923815515015064</v>
      </c>
      <c r="R149" s="179">
        <f>O149/O$9</f>
        <v>2.3084030834347E-2</v>
      </c>
      <c r="S149" s="178">
        <f>S150+S153</f>
        <v>42049</v>
      </c>
      <c r="T149" s="178">
        <f>T150+T153</f>
        <v>70788</v>
      </c>
      <c r="U149" s="178">
        <f>U150+U153</f>
        <v>108068</v>
      </c>
      <c r="V149" s="178">
        <f>V150+V153</f>
        <v>113850</v>
      </c>
      <c r="W149" s="178">
        <f>W150+W153</f>
        <v>117114</v>
      </c>
      <c r="X149" s="179">
        <f>IFERROR(W149/V149-1,"-")</f>
        <v>2.8669301712779927E-2</v>
      </c>
      <c r="Y149" s="179">
        <f t="shared" si="43"/>
        <v>1.7851791957002545</v>
      </c>
      <c r="Z149" s="179">
        <f t="shared" ref="Z149:Z161" si="69">U149/U$9</f>
        <v>2.8613088128724477E-2</v>
      </c>
    </row>
    <row r="150" spans="1:26" x14ac:dyDescent="0.25">
      <c r="A150" s="1" t="s">
        <v>99</v>
      </c>
      <c r="B150" s="161" t="s">
        <v>100</v>
      </c>
      <c r="C150" s="162">
        <v>8198</v>
      </c>
      <c r="D150" s="162">
        <v>8139</v>
      </c>
      <c r="E150" s="162">
        <v>18008</v>
      </c>
      <c r="F150" s="162">
        <v>17702</v>
      </c>
      <c r="G150" s="162">
        <v>18511</v>
      </c>
      <c r="H150" s="163">
        <f>IFERROR(G150/F150-1,"-")</f>
        <v>4.5701050728731207E-2</v>
      </c>
      <c r="I150" s="180">
        <f t="shared" si="63"/>
        <v>1.2579897535984386</v>
      </c>
      <c r="J150" s="163">
        <f>G150/G$9</f>
        <v>2.4361387115878135E-2</v>
      </c>
      <c r="K150" s="162">
        <v>13645</v>
      </c>
      <c r="L150" s="162">
        <v>31999</v>
      </c>
      <c r="M150" s="162">
        <v>38624</v>
      </c>
      <c r="N150" s="162">
        <v>39075</v>
      </c>
      <c r="O150" s="162">
        <v>34406</v>
      </c>
      <c r="P150" s="163">
        <f>IFERROR(O150/N150-1,"-")</f>
        <v>-0.11948816378758798</v>
      </c>
      <c r="Q150" s="180">
        <f t="shared" si="42"/>
        <v>1.5215097105166726</v>
      </c>
      <c r="R150" s="163">
        <f>O150/O$9</f>
        <v>9.7669539940301395E-3</v>
      </c>
      <c r="S150" s="162">
        <v>21843</v>
      </c>
      <c r="T150" s="162">
        <v>40138</v>
      </c>
      <c r="U150" s="162">
        <v>56632</v>
      </c>
      <c r="V150" s="162">
        <v>56777</v>
      </c>
      <c r="W150" s="162">
        <v>52917</v>
      </c>
      <c r="X150" s="163">
        <f>IFERROR(W150/V150-1,"-")</f>
        <v>-6.7985275727847516E-2</v>
      </c>
      <c r="Y150" s="180">
        <f t="shared" si="43"/>
        <v>1.4226067847823103</v>
      </c>
      <c r="Z150" s="163">
        <f t="shared" si="69"/>
        <v>1.4994414691730434E-2</v>
      </c>
    </row>
    <row r="151" spans="1:26" x14ac:dyDescent="0.25">
      <c r="A151" s="164" t="s">
        <v>106</v>
      </c>
      <c r="B151" s="165" t="s">
        <v>106</v>
      </c>
      <c r="C151" s="166">
        <v>3239</v>
      </c>
      <c r="D151" s="166">
        <v>4159</v>
      </c>
      <c r="E151" s="166">
        <v>6621</v>
      </c>
      <c r="F151" s="166">
        <v>5838</v>
      </c>
      <c r="G151" s="166">
        <v>5597</v>
      </c>
      <c r="H151" s="167">
        <f>IFERROR(G151/F151-1,"-")</f>
        <v>-4.1281260705721134E-2</v>
      </c>
      <c r="I151" s="181">
        <f t="shared" si="63"/>
        <v>0.72800246989811668</v>
      </c>
      <c r="J151" s="167">
        <f>G151/G$9</f>
        <v>7.3659274856879651E-3</v>
      </c>
      <c r="K151" s="166">
        <v>11144</v>
      </c>
      <c r="L151" s="166">
        <v>28141</v>
      </c>
      <c r="M151" s="166">
        <v>34603</v>
      </c>
      <c r="N151" s="166">
        <v>36787</v>
      </c>
      <c r="O151" s="166">
        <v>31192</v>
      </c>
      <c r="P151" s="167">
        <f>IFERROR(O151/N151-1,"-")</f>
        <v>-0.15209177154973219</v>
      </c>
      <c r="Q151" s="181">
        <f t="shared" ref="Q151:Q161" si="70">IFERROR(O151/K151-1,"-")</f>
        <v>1.7989949748743719</v>
      </c>
      <c r="R151" s="167">
        <f>O151/O$9</f>
        <v>8.8545843452243235E-3</v>
      </c>
      <c r="S151" s="166">
        <v>14383</v>
      </c>
      <c r="T151" s="166">
        <v>32300</v>
      </c>
      <c r="U151" s="166">
        <v>41224</v>
      </c>
      <c r="V151" s="166">
        <v>42625</v>
      </c>
      <c r="W151" s="166">
        <v>36789</v>
      </c>
      <c r="X151" s="167">
        <f>IFERROR(W151/V151-1,"-")</f>
        <v>-0.1369149560117302</v>
      </c>
      <c r="Y151" s="181">
        <f t="shared" ref="Y151:Y161" si="71">IFERROR(W151/S151-1,"-")</f>
        <v>1.5578113050128626</v>
      </c>
      <c r="Z151" s="167">
        <f t="shared" si="69"/>
        <v>1.0914849400549079E-2</v>
      </c>
    </row>
    <row r="152" spans="1:26" x14ac:dyDescent="0.25">
      <c r="A152" s="164" t="s">
        <v>103</v>
      </c>
      <c r="B152" s="165" t="s">
        <v>103</v>
      </c>
      <c r="C152" s="166">
        <v>4959</v>
      </c>
      <c r="D152" s="166">
        <v>3980</v>
      </c>
      <c r="E152" s="166">
        <v>11387</v>
      </c>
      <c r="F152" s="166">
        <v>11864</v>
      </c>
      <c r="G152" s="166">
        <v>12914</v>
      </c>
      <c r="H152" s="167">
        <f>IFERROR(G152/F152-1,"-")</f>
        <v>8.8503034389750601E-2</v>
      </c>
      <c r="I152" s="181">
        <f t="shared" si="63"/>
        <v>1.6041540633192177</v>
      </c>
      <c r="J152" s="167">
        <f>G152/G$9</f>
        <v>1.6995459630190168E-2</v>
      </c>
      <c r="K152" s="166">
        <v>2501</v>
      </c>
      <c r="L152" s="166">
        <v>3858</v>
      </c>
      <c r="M152" s="166">
        <v>4021</v>
      </c>
      <c r="N152" s="166">
        <v>2288</v>
      </c>
      <c r="O152" s="166">
        <v>3214</v>
      </c>
      <c r="P152" s="167">
        <f>IFERROR(O152/N152-1,"-")</f>
        <v>0.4047202797202798</v>
      </c>
      <c r="Q152" s="181">
        <f t="shared" si="70"/>
        <v>0.28508596561375454</v>
      </c>
      <c r="R152" s="167">
        <f>O152/O$9</f>
        <v>9.1236964880581485E-4</v>
      </c>
      <c r="S152" s="166">
        <v>7460</v>
      </c>
      <c r="T152" s="166">
        <v>7838</v>
      </c>
      <c r="U152" s="166">
        <v>15408</v>
      </c>
      <c r="V152" s="166">
        <v>14152</v>
      </c>
      <c r="W152" s="166">
        <v>16128</v>
      </c>
      <c r="X152" s="167">
        <f>IFERROR(W152/V152-1,"-")</f>
        <v>0.13962690785754672</v>
      </c>
      <c r="Y152" s="181">
        <f t="shared" si="71"/>
        <v>1.1619302949061661</v>
      </c>
      <c r="Z152" s="167">
        <f t="shared" si="69"/>
        <v>4.0795652911813553E-3</v>
      </c>
    </row>
    <row r="153" spans="1:26" x14ac:dyDescent="0.25">
      <c r="A153" s="1" t="s">
        <v>149</v>
      </c>
      <c r="B153" s="161" t="s">
        <v>110</v>
      </c>
      <c r="C153" s="162">
        <v>3648</v>
      </c>
      <c r="D153" s="162">
        <v>7050</v>
      </c>
      <c r="E153" s="162">
        <v>12362</v>
      </c>
      <c r="F153" s="162">
        <v>13012</v>
      </c>
      <c r="G153" s="162">
        <v>17285</v>
      </c>
      <c r="H153" s="163">
        <f>IFERROR(G153/F153-1,"-")</f>
        <v>0.3283891792191822</v>
      </c>
      <c r="I153" s="180">
        <f t="shared" si="63"/>
        <v>3.7382127192982457</v>
      </c>
      <c r="J153" s="163">
        <f>G153/G$9</f>
        <v>2.2747910771862868E-2</v>
      </c>
      <c r="K153" s="162">
        <v>16558</v>
      </c>
      <c r="L153" s="162">
        <v>23600</v>
      </c>
      <c r="M153" s="162">
        <v>39074</v>
      </c>
      <c r="N153" s="162">
        <v>44061</v>
      </c>
      <c r="O153" s="162">
        <v>46912</v>
      </c>
      <c r="P153" s="163">
        <f>IFERROR(O153/N153-1,"-")</f>
        <v>6.4705748848187694E-2</v>
      </c>
      <c r="Q153" s="180">
        <f t="shared" si="70"/>
        <v>1.8331924145428191</v>
      </c>
      <c r="R153" s="163">
        <f>O153/O$9</f>
        <v>1.331707684031686E-2</v>
      </c>
      <c r="S153" s="162">
        <v>20206</v>
      </c>
      <c r="T153" s="162">
        <v>30650</v>
      </c>
      <c r="U153" s="162">
        <v>51436</v>
      </c>
      <c r="V153" s="162">
        <v>57073</v>
      </c>
      <c r="W153" s="162">
        <v>64197</v>
      </c>
      <c r="X153" s="163">
        <f>IFERROR(W153/V153-1,"-")</f>
        <v>0.12482259562314924</v>
      </c>
      <c r="Y153" s="180">
        <f t="shared" si="71"/>
        <v>2.1771256062555677</v>
      </c>
      <c r="Z153" s="163">
        <f t="shared" si="69"/>
        <v>1.3618673436994043E-2</v>
      </c>
    </row>
    <row r="154" spans="1:26" x14ac:dyDescent="0.25">
      <c r="A154" s="164" t="s">
        <v>113</v>
      </c>
      <c r="B154" s="165" t="s">
        <v>113</v>
      </c>
      <c r="C154" s="166">
        <v>434</v>
      </c>
      <c r="D154" s="166">
        <v>401</v>
      </c>
      <c r="E154" s="166">
        <v>974</v>
      </c>
      <c r="F154" s="166">
        <v>983</v>
      </c>
      <c r="G154" s="166">
        <v>1429</v>
      </c>
      <c r="H154" s="167">
        <f t="shared" ref="H154:H161" si="72">IFERROR(G154/F154-1,"-")</f>
        <v>0.45371312309257372</v>
      </c>
      <c r="I154" s="181">
        <f t="shared" si="63"/>
        <v>2.2926267281105992</v>
      </c>
      <c r="J154" s="167">
        <f t="shared" ref="J154:J161" si="73">G154/G$9</f>
        <v>1.8806343357241561E-3</v>
      </c>
      <c r="K154" s="166">
        <v>5335</v>
      </c>
      <c r="L154" s="166">
        <v>5197</v>
      </c>
      <c r="M154" s="166">
        <v>18197</v>
      </c>
      <c r="N154" s="166">
        <v>17767</v>
      </c>
      <c r="O154" s="166">
        <v>18362</v>
      </c>
      <c r="P154" s="167">
        <f t="shared" ref="P154:P161" si="74">IFERROR(O154/N154-1,"-")</f>
        <v>3.3489052738222558E-2</v>
      </c>
      <c r="Q154" s="181">
        <f t="shared" si="70"/>
        <v>2.4417994376757264</v>
      </c>
      <c r="R154" s="167">
        <f t="shared" ref="R154:R161" si="75">O154/O$9</f>
        <v>5.212486462779207E-3</v>
      </c>
      <c r="S154" s="166">
        <v>5769</v>
      </c>
      <c r="T154" s="166">
        <v>5598</v>
      </c>
      <c r="U154" s="166">
        <v>19171</v>
      </c>
      <c r="V154" s="166">
        <v>18750</v>
      </c>
      <c r="W154" s="166">
        <v>19791</v>
      </c>
      <c r="X154" s="167">
        <f t="shared" ref="X154:X161" si="76">IFERROR(W154/V154-1,"-")</f>
        <v>5.5520000000000014E-2</v>
      </c>
      <c r="Y154" s="181">
        <f t="shared" si="71"/>
        <v>2.4305772230889238</v>
      </c>
      <c r="Z154" s="167">
        <f t="shared" si="69"/>
        <v>5.0758921467573834E-3</v>
      </c>
    </row>
    <row r="155" spans="1:26" x14ac:dyDescent="0.25">
      <c r="A155" s="164" t="s">
        <v>116</v>
      </c>
      <c r="B155" s="165" t="s">
        <v>116</v>
      </c>
      <c r="C155" s="166">
        <v>651</v>
      </c>
      <c r="D155" s="166">
        <v>1400</v>
      </c>
      <c r="E155" s="166">
        <v>2438</v>
      </c>
      <c r="F155" s="166">
        <v>2568</v>
      </c>
      <c r="G155" s="166">
        <v>2962</v>
      </c>
      <c r="H155" s="167">
        <f t="shared" si="72"/>
        <v>0.15342679127725867</v>
      </c>
      <c r="I155" s="181">
        <f t="shared" si="63"/>
        <v>3.5499231950844852</v>
      </c>
      <c r="J155" s="167">
        <f t="shared" si="73"/>
        <v>3.898137790353359E-3</v>
      </c>
      <c r="K155" s="166">
        <v>3972</v>
      </c>
      <c r="L155" s="166">
        <v>6636</v>
      </c>
      <c r="M155" s="166">
        <v>7498</v>
      </c>
      <c r="N155" s="166">
        <v>7764</v>
      </c>
      <c r="O155" s="166">
        <v>7140</v>
      </c>
      <c r="P155" s="167">
        <f t="shared" si="74"/>
        <v>-8.037094281298296E-2</v>
      </c>
      <c r="Q155" s="181">
        <f t="shared" si="70"/>
        <v>0.797583081570997</v>
      </c>
      <c r="R155" s="167">
        <f t="shared" si="75"/>
        <v>2.0268572783053882E-3</v>
      </c>
      <c r="S155" s="166">
        <v>4623</v>
      </c>
      <c r="T155" s="166">
        <v>8036</v>
      </c>
      <c r="U155" s="166">
        <v>9936</v>
      </c>
      <c r="V155" s="166">
        <v>10332</v>
      </c>
      <c r="W155" s="166">
        <v>10102</v>
      </c>
      <c r="X155" s="167">
        <f t="shared" si="76"/>
        <v>-2.2260936895083239E-2</v>
      </c>
      <c r="Y155" s="181">
        <f t="shared" si="71"/>
        <v>1.1851611507678999</v>
      </c>
      <c r="Z155" s="167">
        <f t="shared" si="69"/>
        <v>2.6307477111356405E-3</v>
      </c>
    </row>
    <row r="156" spans="1:26" x14ac:dyDescent="0.25">
      <c r="A156" s="164" t="s">
        <v>119</v>
      </c>
      <c r="B156" s="165" t="s">
        <v>119</v>
      </c>
      <c r="C156" s="166">
        <v>563</v>
      </c>
      <c r="D156" s="166">
        <v>1370</v>
      </c>
      <c r="E156" s="166">
        <v>2211</v>
      </c>
      <c r="F156" s="166">
        <v>2245</v>
      </c>
      <c r="G156" s="166">
        <v>2884</v>
      </c>
      <c r="H156" s="167">
        <f t="shared" si="72"/>
        <v>0.2846325167037862</v>
      </c>
      <c r="I156" s="181">
        <f t="shared" si="63"/>
        <v>4.1225577264653639</v>
      </c>
      <c r="J156" s="167">
        <f t="shared" si="73"/>
        <v>3.7954859511745739E-3</v>
      </c>
      <c r="K156" s="166">
        <v>1717</v>
      </c>
      <c r="L156" s="166">
        <v>3754</v>
      </c>
      <c r="M156" s="166">
        <v>4261</v>
      </c>
      <c r="N156" s="166">
        <v>7004</v>
      </c>
      <c r="O156" s="166">
        <v>8840</v>
      </c>
      <c r="P156" s="167">
        <f t="shared" si="74"/>
        <v>0.26213592233009719</v>
      </c>
      <c r="Q156" s="181">
        <f t="shared" si="70"/>
        <v>4.1485148514851486</v>
      </c>
      <c r="R156" s="167">
        <f t="shared" si="75"/>
        <v>2.5094423445685761E-3</v>
      </c>
      <c r="S156" s="166">
        <v>2280</v>
      </c>
      <c r="T156" s="166">
        <v>5124</v>
      </c>
      <c r="U156" s="166">
        <v>6472</v>
      </c>
      <c r="V156" s="166">
        <v>9249</v>
      </c>
      <c r="W156" s="166">
        <v>11724</v>
      </c>
      <c r="X156" s="167">
        <f t="shared" si="76"/>
        <v>0.26759649691858578</v>
      </c>
      <c r="Y156" s="181">
        <f t="shared" si="71"/>
        <v>4.1421052631578945</v>
      </c>
      <c r="Z156" s="167">
        <f t="shared" si="69"/>
        <v>1.7135868746447128E-3</v>
      </c>
    </row>
    <row r="157" spans="1:26" x14ac:dyDescent="0.25">
      <c r="A157" s="164" t="s">
        <v>126</v>
      </c>
      <c r="B157" s="165" t="s">
        <v>126</v>
      </c>
      <c r="C157" s="166">
        <v>250</v>
      </c>
      <c r="D157" s="166">
        <v>317</v>
      </c>
      <c r="E157" s="166">
        <v>761</v>
      </c>
      <c r="F157" s="166">
        <v>634</v>
      </c>
      <c r="G157" s="166">
        <v>898</v>
      </c>
      <c r="H157" s="167">
        <f t="shared" si="72"/>
        <v>0.41640378548895907</v>
      </c>
      <c r="I157" s="181">
        <f t="shared" si="63"/>
        <v>2.5920000000000001</v>
      </c>
      <c r="J157" s="167">
        <f t="shared" si="73"/>
        <v>1.1818121997762717E-3</v>
      </c>
      <c r="K157" s="166">
        <v>328</v>
      </c>
      <c r="L157" s="166">
        <v>589</v>
      </c>
      <c r="M157" s="166">
        <v>856</v>
      </c>
      <c r="N157" s="166">
        <v>868</v>
      </c>
      <c r="O157" s="166">
        <v>969</v>
      </c>
      <c r="P157" s="167">
        <f t="shared" si="74"/>
        <v>0.11635944700460832</v>
      </c>
      <c r="Q157" s="181">
        <f t="shared" si="70"/>
        <v>1.9542682926829267</v>
      </c>
      <c r="R157" s="167">
        <f t="shared" si="75"/>
        <v>2.75073487770017E-4</v>
      </c>
      <c r="S157" s="166">
        <v>578</v>
      </c>
      <c r="T157" s="166">
        <v>906</v>
      </c>
      <c r="U157" s="166">
        <v>1617</v>
      </c>
      <c r="V157" s="166">
        <v>1502</v>
      </c>
      <c r="W157" s="166">
        <v>1867</v>
      </c>
      <c r="X157" s="167">
        <f t="shared" si="76"/>
        <v>0.24300932090545935</v>
      </c>
      <c r="Y157" s="181">
        <f t="shared" si="71"/>
        <v>2.2301038062283736</v>
      </c>
      <c r="Z157" s="167">
        <f t="shared" si="69"/>
        <v>4.2813194936657916E-4</v>
      </c>
    </row>
    <row r="158" spans="1:26" x14ac:dyDescent="0.25">
      <c r="A158" s="164" t="s">
        <v>122</v>
      </c>
      <c r="B158" s="165" t="s">
        <v>122</v>
      </c>
      <c r="C158" s="166">
        <v>236</v>
      </c>
      <c r="D158" s="166">
        <v>351</v>
      </c>
      <c r="E158" s="166">
        <v>597</v>
      </c>
      <c r="F158" s="166">
        <v>569</v>
      </c>
      <c r="G158" s="166">
        <v>772</v>
      </c>
      <c r="H158" s="167">
        <f t="shared" si="72"/>
        <v>0.35676625659050965</v>
      </c>
      <c r="I158" s="181">
        <f t="shared" si="63"/>
        <v>2.2711864406779663</v>
      </c>
      <c r="J158" s="167">
        <f t="shared" si="73"/>
        <v>1.0159899980259261E-3</v>
      </c>
      <c r="K158" s="166">
        <v>1262</v>
      </c>
      <c r="L158" s="166">
        <v>1393</v>
      </c>
      <c r="M158" s="166">
        <v>2346</v>
      </c>
      <c r="N158" s="166">
        <v>2305</v>
      </c>
      <c r="O158" s="166">
        <v>2540</v>
      </c>
      <c r="P158" s="167">
        <f t="shared" si="74"/>
        <v>0.10195227765726678</v>
      </c>
      <c r="Q158" s="181">
        <f t="shared" si="70"/>
        <v>1.0126782884310619</v>
      </c>
      <c r="R158" s="167">
        <f t="shared" si="75"/>
        <v>7.2103886371088039E-4</v>
      </c>
      <c r="S158" s="166">
        <v>1498</v>
      </c>
      <c r="T158" s="166">
        <v>1744</v>
      </c>
      <c r="U158" s="166">
        <v>2943</v>
      </c>
      <c r="V158" s="166">
        <v>2874</v>
      </c>
      <c r="W158" s="166">
        <v>3312</v>
      </c>
      <c r="X158" s="167">
        <f t="shared" si="76"/>
        <v>0.15240083507306879</v>
      </c>
      <c r="Y158" s="181">
        <f t="shared" si="71"/>
        <v>1.2109479305740987</v>
      </c>
      <c r="Z158" s="167">
        <f t="shared" si="69"/>
        <v>7.7921603400485004E-4</v>
      </c>
    </row>
    <row r="159" spans="1:26" x14ac:dyDescent="0.25">
      <c r="A159" s="164" t="s">
        <v>131</v>
      </c>
      <c r="B159" s="165" t="s">
        <v>131</v>
      </c>
      <c r="C159" s="166">
        <v>58</v>
      </c>
      <c r="D159" s="166">
        <v>71</v>
      </c>
      <c r="E159" s="166">
        <v>195</v>
      </c>
      <c r="F159" s="166">
        <v>156</v>
      </c>
      <c r="G159" s="166">
        <v>110</v>
      </c>
      <c r="H159" s="167">
        <f t="shared" si="72"/>
        <v>-0.29487179487179482</v>
      </c>
      <c r="I159" s="181">
        <f t="shared" si="63"/>
        <v>0.89655172413793105</v>
      </c>
      <c r="J159" s="167">
        <f t="shared" si="73"/>
        <v>1.4476541422649207E-4</v>
      </c>
      <c r="K159" s="166">
        <v>174</v>
      </c>
      <c r="L159" s="166">
        <v>211</v>
      </c>
      <c r="M159" s="166">
        <v>277</v>
      </c>
      <c r="N159" s="166">
        <v>276</v>
      </c>
      <c r="O159" s="166">
        <v>264</v>
      </c>
      <c r="P159" s="167">
        <f t="shared" si="74"/>
        <v>-4.3478260869565188E-2</v>
      </c>
      <c r="Q159" s="181">
        <f t="shared" si="70"/>
        <v>0.51724137931034475</v>
      </c>
      <c r="R159" s="167">
        <f t="shared" si="75"/>
        <v>7.4942622054989145E-5</v>
      </c>
      <c r="S159" s="166">
        <v>232</v>
      </c>
      <c r="T159" s="166">
        <v>282</v>
      </c>
      <c r="U159" s="166">
        <v>472</v>
      </c>
      <c r="V159" s="166">
        <v>432</v>
      </c>
      <c r="W159" s="166">
        <v>374</v>
      </c>
      <c r="X159" s="167">
        <f t="shared" si="76"/>
        <v>-0.1342592592592593</v>
      </c>
      <c r="Y159" s="181">
        <f t="shared" si="71"/>
        <v>0.61206896551724133</v>
      </c>
      <c r="Z159" s="167">
        <f t="shared" si="69"/>
        <v>1.2497110705072688E-4</v>
      </c>
    </row>
    <row r="160" spans="1:26" x14ac:dyDescent="0.25">
      <c r="A160" s="164" t="s">
        <v>134</v>
      </c>
      <c r="B160" s="165" t="s">
        <v>134</v>
      </c>
      <c r="C160" s="166">
        <v>70</v>
      </c>
      <c r="D160" s="166">
        <v>84</v>
      </c>
      <c r="E160" s="166">
        <v>99</v>
      </c>
      <c r="F160" s="166">
        <v>155</v>
      </c>
      <c r="G160" s="166">
        <v>126</v>
      </c>
      <c r="H160" s="167">
        <f t="shared" si="72"/>
        <v>-0.18709677419354842</v>
      </c>
      <c r="I160" s="181">
        <f t="shared" si="63"/>
        <v>0.8</v>
      </c>
      <c r="J160" s="167">
        <f t="shared" si="73"/>
        <v>1.6582220175034547E-4</v>
      </c>
      <c r="K160" s="166">
        <v>228</v>
      </c>
      <c r="L160" s="166">
        <v>362</v>
      </c>
      <c r="M160" s="166">
        <v>555</v>
      </c>
      <c r="N160" s="166">
        <v>677</v>
      </c>
      <c r="O160" s="166">
        <v>456</v>
      </c>
      <c r="P160" s="167">
        <f t="shared" si="74"/>
        <v>-0.3264401772525849</v>
      </c>
      <c r="Q160" s="181">
        <f t="shared" si="70"/>
        <v>1</v>
      </c>
      <c r="R160" s="167">
        <f t="shared" si="75"/>
        <v>1.2944634718589035E-4</v>
      </c>
      <c r="S160" s="166">
        <v>298</v>
      </c>
      <c r="T160" s="166">
        <v>446</v>
      </c>
      <c r="U160" s="166">
        <v>654</v>
      </c>
      <c r="V160" s="166">
        <v>832</v>
      </c>
      <c r="W160" s="166">
        <v>582</v>
      </c>
      <c r="X160" s="167">
        <f t="shared" si="76"/>
        <v>-0.30048076923076927</v>
      </c>
      <c r="Y160" s="181">
        <f t="shared" si="71"/>
        <v>0.95302013422818788</v>
      </c>
      <c r="Z160" s="167">
        <f t="shared" si="69"/>
        <v>1.7315911866774445E-4</v>
      </c>
    </row>
    <row r="161" spans="1:26" x14ac:dyDescent="0.25">
      <c r="A161" s="169" t="s">
        <v>148</v>
      </c>
      <c r="B161" s="170" t="s">
        <v>148</v>
      </c>
      <c r="C161" s="171">
        <f>C153-SUM(C154:C160)</f>
        <v>1386</v>
      </c>
      <c r="D161" s="171">
        <f>D153-SUM(D154:D160)</f>
        <v>3056</v>
      </c>
      <c r="E161" s="171">
        <f>E153-SUM(E154:E160)</f>
        <v>5087</v>
      </c>
      <c r="F161" s="171">
        <f>F153-SUM(F154:F160)</f>
        <v>5702</v>
      </c>
      <c r="G161" s="171">
        <f>G153-SUM(G154:G160)</f>
        <v>8104</v>
      </c>
      <c r="H161" s="172">
        <f t="shared" si="72"/>
        <v>0.42125569975447208</v>
      </c>
      <c r="I161" s="182">
        <f t="shared" si="63"/>
        <v>4.8470418470418473</v>
      </c>
      <c r="J161" s="172">
        <f t="shared" si="73"/>
        <v>1.0665262880831743E-2</v>
      </c>
      <c r="K161" s="171">
        <f>K153-SUM(K154:K160)</f>
        <v>3542</v>
      </c>
      <c r="L161" s="171">
        <f>L153-SUM(L154:L160)</f>
        <v>5458</v>
      </c>
      <c r="M161" s="171">
        <f>M153-SUM(M154:M160)</f>
        <v>5084</v>
      </c>
      <c r="N161" s="171">
        <f>N153-SUM(N154:N160)</f>
        <v>7400</v>
      </c>
      <c r="O161" s="171">
        <f>O153-SUM(O154:O160)</f>
        <v>8341</v>
      </c>
      <c r="P161" s="172">
        <f t="shared" si="74"/>
        <v>0.12716216216216214</v>
      </c>
      <c r="Q161" s="182">
        <f t="shared" si="70"/>
        <v>1.3548842461885942</v>
      </c>
      <c r="R161" s="172">
        <f t="shared" si="75"/>
        <v>2.367789433941911E-3</v>
      </c>
      <c r="S161" s="171">
        <f>S153-SUM(S154:S160)</f>
        <v>4928</v>
      </c>
      <c r="T161" s="171">
        <f>T153-SUM(T154:T160)</f>
        <v>8514</v>
      </c>
      <c r="U161" s="171">
        <f>U153-SUM(U154:U160)</f>
        <v>10171</v>
      </c>
      <c r="V161" s="171">
        <f>V153-SUM(V154:V160)</f>
        <v>13102</v>
      </c>
      <c r="W161" s="171">
        <f>W153-SUM(W154:W160)</f>
        <v>16445</v>
      </c>
      <c r="X161" s="172">
        <f t="shared" si="76"/>
        <v>0.25515188520836518</v>
      </c>
      <c r="Y161" s="182">
        <f t="shared" si="71"/>
        <v>2.3370535714285716</v>
      </c>
      <c r="Z161" s="172">
        <f t="shared" si="69"/>
        <v>2.692968495366405E-3</v>
      </c>
    </row>
    <row r="162" spans="1:26" ht="6" customHeight="1" x14ac:dyDescent="0.25">
      <c r="C162" s="81"/>
      <c r="D162" s="81"/>
      <c r="E162" s="81"/>
      <c r="F162" s="81"/>
      <c r="G162" s="81"/>
      <c r="H162" s="81"/>
      <c r="K162" s="81"/>
      <c r="L162" s="81"/>
      <c r="M162" s="81"/>
      <c r="N162" s="81"/>
      <c r="O162" s="81"/>
      <c r="P162" s="81"/>
      <c r="S162" s="81"/>
      <c r="T162" s="81"/>
      <c r="U162" s="81"/>
      <c r="V162" s="81"/>
      <c r="W162" s="81"/>
      <c r="X162" s="81"/>
    </row>
    <row r="163" spans="1:26" ht="6" customHeight="1" x14ac:dyDescent="0.25"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</row>
    <row r="164" spans="1:26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</sheetData>
  <mergeCells count="3">
    <mergeCell ref="C6:J6"/>
    <mergeCell ref="K6:R6"/>
    <mergeCell ref="S6:Z6"/>
  </mergeCells>
  <pageMargins left="0.7" right="0.7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FE582-593A-40C8-BC9A-376F3F54F621}">
  <sheetPr>
    <tabColor theme="8" tint="0.59999389629810485"/>
  </sheetPr>
  <dimension ref="A4:L76"/>
  <sheetViews>
    <sheetView showGridLines="0" zoomScaleNormal="100" workbookViewId="0">
      <selection activeCell="H9" sqref="H9"/>
    </sheetView>
  </sheetViews>
  <sheetFormatPr baseColWidth="10" defaultColWidth="11.42578125" defaultRowHeight="15" x14ac:dyDescent="0.25"/>
  <cols>
    <col min="3" max="3" width="16.85546875" customWidth="1"/>
    <col min="4" max="4" width="15.5703125" customWidth="1"/>
    <col min="5" max="9" width="12.7109375" customWidth="1"/>
    <col min="12" max="12" width="12" customWidth="1"/>
  </cols>
  <sheetData>
    <row r="4" spans="2:12" ht="21.75" thickBot="1" x14ac:dyDescent="0.3">
      <c r="B4" s="283" t="s">
        <v>230</v>
      </c>
      <c r="C4" s="283"/>
      <c r="D4" s="283"/>
      <c r="E4" s="283"/>
      <c r="F4" s="283"/>
      <c r="G4" s="283"/>
      <c r="H4" s="283"/>
      <c r="I4" s="283"/>
      <c r="J4" s="283"/>
      <c r="K4" s="283"/>
      <c r="L4" s="12"/>
    </row>
    <row r="5" spans="2:12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ht="45" x14ac:dyDescent="0.25">
      <c r="B6" s="4"/>
      <c r="C6" s="4"/>
      <c r="D6" s="4"/>
      <c r="E6" s="13" t="s">
        <v>231</v>
      </c>
      <c r="F6" s="13" t="s">
        <v>232</v>
      </c>
      <c r="G6" s="13" t="s">
        <v>233</v>
      </c>
      <c r="H6" s="13" t="s">
        <v>234</v>
      </c>
      <c r="I6" s="13" t="s">
        <v>235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diciembre 2025</v>
      </c>
    </row>
    <row r="7" spans="2:12" x14ac:dyDescent="0.25">
      <c r="B7" s="296" t="s">
        <v>48</v>
      </c>
      <c r="C7" s="286" t="s">
        <v>8</v>
      </c>
      <c r="D7" s="15" t="s">
        <v>33</v>
      </c>
      <c r="E7" s="16">
        <v>78855</v>
      </c>
      <c r="F7" s="16">
        <v>108917</v>
      </c>
      <c r="G7" s="16">
        <v>111619</v>
      </c>
      <c r="H7" s="16">
        <v>115450</v>
      </c>
      <c r="I7" s="16">
        <v>110730</v>
      </c>
      <c r="J7" s="17">
        <f>I7/H7-1</f>
        <v>-4.0883499350368169E-2</v>
      </c>
      <c r="K7" s="16">
        <f>I7-H7</f>
        <v>-4720</v>
      </c>
      <c r="L7" s="18">
        <f>I7/$I$7</f>
        <v>1</v>
      </c>
    </row>
    <row r="8" spans="2:12" x14ac:dyDescent="0.25">
      <c r="B8" s="284"/>
      <c r="C8" s="287"/>
      <c r="D8" s="19" t="s">
        <v>34</v>
      </c>
      <c r="E8" s="20">
        <v>45371</v>
      </c>
      <c r="F8" s="20">
        <v>68554</v>
      </c>
      <c r="G8" s="20">
        <v>67674</v>
      </c>
      <c r="H8" s="20">
        <v>71887</v>
      </c>
      <c r="I8" s="20">
        <v>66314</v>
      </c>
      <c r="J8" s="21">
        <f t="shared" ref="J8:J20" si="0">I8/H8-1</f>
        <v>-7.7524448092144649E-2</v>
      </c>
      <c r="K8" s="20">
        <f t="shared" ref="K8:K17" si="1">I8-H8</f>
        <v>-5573</v>
      </c>
      <c r="L8" s="22">
        <f>I8/$I$7</f>
        <v>0.59888015894518198</v>
      </c>
    </row>
    <row r="9" spans="2:12" x14ac:dyDescent="0.25">
      <c r="B9" s="284"/>
      <c r="C9" s="288"/>
      <c r="D9" s="23" t="s">
        <v>35</v>
      </c>
      <c r="E9" s="24">
        <v>33484</v>
      </c>
      <c r="F9" s="24">
        <v>40363</v>
      </c>
      <c r="G9" s="24">
        <v>43945</v>
      </c>
      <c r="H9" s="24">
        <v>43563</v>
      </c>
      <c r="I9" s="24">
        <v>44416</v>
      </c>
      <c r="J9" s="25">
        <f>IFERROR(I9/H9-1,"-")</f>
        <v>1.9580836948786873E-2</v>
      </c>
      <c r="K9" s="24">
        <f>IFERROR(I9-H9,"-")</f>
        <v>853</v>
      </c>
      <c r="L9" s="25">
        <f>IFERROR(I9/$I$7,"-")</f>
        <v>0.40111984105481802</v>
      </c>
    </row>
    <row r="10" spans="2:12" x14ac:dyDescent="0.25">
      <c r="B10" s="284"/>
      <c r="C10" s="289" t="s">
        <v>36</v>
      </c>
      <c r="D10" s="26" t="s">
        <v>33</v>
      </c>
      <c r="E10" s="27">
        <v>95019</v>
      </c>
      <c r="F10" s="27">
        <v>129320</v>
      </c>
      <c r="G10" s="27">
        <v>133580</v>
      </c>
      <c r="H10" s="27">
        <v>136620</v>
      </c>
      <c r="I10" s="27">
        <v>131894</v>
      </c>
      <c r="J10" s="28">
        <f t="shared" si="0"/>
        <v>-3.459229980969114E-2</v>
      </c>
      <c r="K10" s="27">
        <f t="shared" si="1"/>
        <v>-4726</v>
      </c>
      <c r="L10" s="18">
        <f>I10/$I$10</f>
        <v>1</v>
      </c>
    </row>
    <row r="11" spans="2:12" x14ac:dyDescent="0.25">
      <c r="B11" s="284"/>
      <c r="C11" s="290"/>
      <c r="D11" s="4" t="s">
        <v>34</v>
      </c>
      <c r="E11" s="29">
        <v>54293</v>
      </c>
      <c r="F11" s="29">
        <v>80763</v>
      </c>
      <c r="G11" s="29">
        <v>80480</v>
      </c>
      <c r="H11" s="29">
        <v>84213</v>
      </c>
      <c r="I11" s="29">
        <v>78727</v>
      </c>
      <c r="J11" s="30">
        <f t="shared" si="0"/>
        <v>-6.514433638511874E-2</v>
      </c>
      <c r="K11" s="29">
        <f t="shared" si="1"/>
        <v>-5486</v>
      </c>
      <c r="L11" s="31">
        <f>I11/$I$10</f>
        <v>0.59689599223618972</v>
      </c>
    </row>
    <row r="12" spans="2:12" x14ac:dyDescent="0.25">
      <c r="B12" s="284"/>
      <c r="C12" s="291"/>
      <c r="D12" s="32" t="s">
        <v>35</v>
      </c>
      <c r="E12" s="33">
        <v>40726</v>
      </c>
      <c r="F12" s="33">
        <v>48557</v>
      </c>
      <c r="G12" s="33">
        <v>53100</v>
      </c>
      <c r="H12" s="33">
        <v>52407</v>
      </c>
      <c r="I12" s="33">
        <v>53167</v>
      </c>
      <c r="J12" s="34">
        <f>IFERROR(I12/H12-1,"-")</f>
        <v>1.4501879519911443E-2</v>
      </c>
      <c r="K12" s="33">
        <f>IFERROR(I12-H12,"-")</f>
        <v>760</v>
      </c>
      <c r="L12" s="34">
        <f>IFERROR(I12/$I$10,"-")</f>
        <v>0.40310400776381033</v>
      </c>
    </row>
    <row r="13" spans="2:12" x14ac:dyDescent="0.25">
      <c r="B13" s="284"/>
      <c r="C13" s="286" t="s">
        <v>22</v>
      </c>
      <c r="D13" s="15" t="s">
        <v>33</v>
      </c>
      <c r="E13" s="16">
        <v>579557</v>
      </c>
      <c r="F13" s="16">
        <v>790311</v>
      </c>
      <c r="G13" s="16">
        <v>831777</v>
      </c>
      <c r="H13" s="16">
        <v>834955</v>
      </c>
      <c r="I13" s="16">
        <v>802051</v>
      </c>
      <c r="J13" s="17">
        <f t="shared" si="0"/>
        <v>-3.9408111814409175E-2</v>
      </c>
      <c r="K13" s="16">
        <f t="shared" si="1"/>
        <v>-32904</v>
      </c>
      <c r="L13" s="18">
        <f>I13/$I$13</f>
        <v>1</v>
      </c>
    </row>
    <row r="14" spans="2:12" x14ac:dyDescent="0.25">
      <c r="B14" s="284"/>
      <c r="C14" s="287"/>
      <c r="D14" s="19" t="s">
        <v>34</v>
      </c>
      <c r="E14" s="20">
        <v>322714</v>
      </c>
      <c r="F14" s="20">
        <v>481522</v>
      </c>
      <c r="G14" s="20">
        <v>480103</v>
      </c>
      <c r="H14" s="20">
        <v>488662</v>
      </c>
      <c r="I14" s="20">
        <v>463246</v>
      </c>
      <c r="J14" s="21">
        <f t="shared" si="0"/>
        <v>-5.2011410750170906E-2</v>
      </c>
      <c r="K14" s="20">
        <f t="shared" si="1"/>
        <v>-25416</v>
      </c>
      <c r="L14" s="22">
        <f>I14/$I$13</f>
        <v>0.57757673763887829</v>
      </c>
    </row>
    <row r="15" spans="2:12" x14ac:dyDescent="0.25">
      <c r="B15" s="284"/>
      <c r="C15" s="288"/>
      <c r="D15" s="23" t="s">
        <v>35</v>
      </c>
      <c r="E15" s="24">
        <v>256843</v>
      </c>
      <c r="F15" s="24">
        <v>308789</v>
      </c>
      <c r="G15" s="24">
        <v>351674</v>
      </c>
      <c r="H15" s="24">
        <v>346293</v>
      </c>
      <c r="I15" s="24">
        <v>338805</v>
      </c>
      <c r="J15" s="25">
        <f>IFERROR(I15/H15-1,"-")</f>
        <v>-2.1623307430412964E-2</v>
      </c>
      <c r="K15" s="24">
        <f>IFERROR(I15-H15,"-")</f>
        <v>-7488</v>
      </c>
      <c r="L15" s="25">
        <f>IFERROR(I15/$I$13,"-")</f>
        <v>0.42242326236112165</v>
      </c>
    </row>
    <row r="16" spans="2:12" x14ac:dyDescent="0.25">
      <c r="B16" s="284"/>
      <c r="C16" s="289" t="s">
        <v>23</v>
      </c>
      <c r="D16" s="26" t="s">
        <v>33</v>
      </c>
      <c r="E16" s="35">
        <v>7.3496544290152812</v>
      </c>
      <c r="F16" s="35">
        <v>7.2560849086919399</v>
      </c>
      <c r="G16" s="35">
        <v>7.4519302269326904</v>
      </c>
      <c r="H16" s="35">
        <v>7.2321784322217413</v>
      </c>
      <c r="I16" s="35">
        <v>7.2433035311117129</v>
      </c>
      <c r="J16" s="36">
        <f t="shared" si="0"/>
        <v>1.538277711789604E-3</v>
      </c>
      <c r="K16" s="37">
        <f t="shared" si="1"/>
        <v>1.1125098889971596E-2</v>
      </c>
      <c r="L16" s="38"/>
    </row>
    <row r="17" spans="2:12" x14ac:dyDescent="0.25">
      <c r="B17" s="284"/>
      <c r="C17" s="290"/>
      <c r="D17" s="4" t="s">
        <v>34</v>
      </c>
      <c r="E17" s="39">
        <f>E14/E8</f>
        <v>7.1127812920147226</v>
      </c>
      <c r="F17" s="39">
        <f t="shared" ref="F17:I17" si="2">F14/F8</f>
        <v>7.0239810951950288</v>
      </c>
      <c r="G17" s="39">
        <f t="shared" si="2"/>
        <v>7.0943493808552764</v>
      </c>
      <c r="H17" s="39">
        <f t="shared" si="2"/>
        <v>6.7976407417196434</v>
      </c>
      <c r="I17" s="39">
        <f t="shared" si="2"/>
        <v>6.9856440570618572</v>
      </c>
      <c r="J17" s="40">
        <f t="shared" si="0"/>
        <v>2.7657142012281977E-2</v>
      </c>
      <c r="K17" s="41">
        <f t="shared" si="1"/>
        <v>0.18800331534221382</v>
      </c>
      <c r="L17" s="42"/>
    </row>
    <row r="18" spans="2:12" x14ac:dyDescent="0.25">
      <c r="B18" s="284"/>
      <c r="C18" s="291"/>
      <c r="D18" s="32" t="s">
        <v>35</v>
      </c>
      <c r="E18" s="43">
        <f>IFERROR(E15/E9,"-")</f>
        <v>7.6706188030103934</v>
      </c>
      <c r="F18" s="43">
        <f t="shared" ref="F18:I18" si="3">IFERROR(F15/F9,"-")</f>
        <v>7.6502985407427593</v>
      </c>
      <c r="G18" s="43">
        <f t="shared" si="3"/>
        <v>8.0025941517806345</v>
      </c>
      <c r="H18" s="43">
        <f t="shared" si="3"/>
        <v>7.9492459197024994</v>
      </c>
      <c r="I18" s="43">
        <f t="shared" si="3"/>
        <v>7.627994416426513</v>
      </c>
      <c r="J18" s="34">
        <f>IFERROR(I18/H18-1,"-")</f>
        <v>-4.0412827395332251E-2</v>
      </c>
      <c r="K18" s="44">
        <f>IFERROR(I18-H18,"-")</f>
        <v>-0.32125150327598639</v>
      </c>
      <c r="L18" s="34"/>
    </row>
    <row r="19" spans="2:12" x14ac:dyDescent="0.25">
      <c r="B19" s="284"/>
      <c r="C19" s="292" t="s">
        <v>37</v>
      </c>
      <c r="D19" s="15" t="s">
        <v>33</v>
      </c>
      <c r="E19" s="18">
        <v>0.51790000000000003</v>
      </c>
      <c r="F19" s="18">
        <v>0.34520000000000001</v>
      </c>
      <c r="G19" s="18">
        <v>0.72120000000000006</v>
      </c>
      <c r="H19" s="18">
        <v>0.70669999999999999</v>
      </c>
      <c r="I19" s="18">
        <v>0.69900000000000007</v>
      </c>
      <c r="J19" s="17">
        <f t="shared" si="0"/>
        <v>-1.0895712466392982E-2</v>
      </c>
      <c r="K19" s="45">
        <f>(I19-H19)*100</f>
        <v>-0.76999999999999291</v>
      </c>
      <c r="L19" s="18"/>
    </row>
    <row r="20" spans="2:12" x14ac:dyDescent="0.25">
      <c r="B20" s="284"/>
      <c r="C20" s="293"/>
      <c r="D20" s="19" t="s">
        <v>34</v>
      </c>
      <c r="E20" s="22">
        <v>0.54210000000000003</v>
      </c>
      <c r="F20" s="22">
        <v>0.71829999999999994</v>
      </c>
      <c r="G20" s="22">
        <v>0.77560000000000007</v>
      </c>
      <c r="H20" s="22">
        <v>0.7198</v>
      </c>
      <c r="I20" s="22">
        <v>0.71849999999999992</v>
      </c>
      <c r="J20" s="21">
        <f t="shared" si="0"/>
        <v>-1.8060572381217721E-3</v>
      </c>
      <c r="K20" s="46">
        <f>(I20-H20)*100</f>
        <v>-0.13000000000000789</v>
      </c>
      <c r="L20" s="22"/>
    </row>
    <row r="21" spans="2:12" x14ac:dyDescent="0.25">
      <c r="B21" s="284"/>
      <c r="C21" s="294"/>
      <c r="D21" s="23" t="s">
        <v>35</v>
      </c>
      <c r="E21" s="25">
        <v>0.49049999999999999</v>
      </c>
      <c r="F21" s="25">
        <v>0.19070000000000001</v>
      </c>
      <c r="G21" s="25">
        <v>0.6583</v>
      </c>
      <c r="H21" s="25">
        <v>0.68889999999999996</v>
      </c>
      <c r="I21" s="25">
        <v>0.67400000000000004</v>
      </c>
      <c r="J21" s="25">
        <f>IFERROR(I21/H21-1,"-")</f>
        <v>-2.1628683408332017E-2</v>
      </c>
      <c r="K21" s="47">
        <f>IFERROR(I21-H21,"-")</f>
        <v>-1.4899999999999913E-2</v>
      </c>
      <c r="L21" s="48"/>
    </row>
    <row r="22" spans="2:12" x14ac:dyDescent="0.25">
      <c r="B22" s="284"/>
      <c r="C22" s="295" t="s">
        <v>38</v>
      </c>
      <c r="D22" s="26" t="s">
        <v>33</v>
      </c>
      <c r="E22" s="27">
        <v>36098</v>
      </c>
      <c r="F22" s="27">
        <v>73850</v>
      </c>
      <c r="G22" s="27">
        <v>37203</v>
      </c>
      <c r="H22" s="27">
        <v>38115</v>
      </c>
      <c r="I22" s="27">
        <v>37015</v>
      </c>
      <c r="J22" s="36">
        <f>I22/H22-1</f>
        <v>-2.8860028860028808E-2</v>
      </c>
      <c r="K22" s="27">
        <f>I22-H22</f>
        <v>-1100</v>
      </c>
      <c r="L22" s="38">
        <f>I22/$I$22</f>
        <v>1</v>
      </c>
    </row>
    <row r="23" spans="2:12" x14ac:dyDescent="0.25">
      <c r="B23" s="284"/>
      <c r="C23" s="297"/>
      <c r="D23" s="4" t="s">
        <v>34</v>
      </c>
      <c r="E23" s="29">
        <v>19205</v>
      </c>
      <c r="F23" s="29">
        <v>21626</v>
      </c>
      <c r="G23" s="29">
        <v>19969.000000000004</v>
      </c>
      <c r="H23" s="29">
        <v>21899</v>
      </c>
      <c r="I23" s="29">
        <v>20798.999999999996</v>
      </c>
      <c r="J23" s="40">
        <f>I23/H23-1</f>
        <v>-5.0230604137175394E-2</v>
      </c>
      <c r="K23" s="29">
        <f>I23-H23</f>
        <v>-1100.0000000000036</v>
      </c>
      <c r="L23" s="42">
        <f>I23/$I$22</f>
        <v>0.56190733486424416</v>
      </c>
    </row>
    <row r="24" spans="2:12" x14ac:dyDescent="0.25">
      <c r="B24" s="285"/>
      <c r="C24" s="298"/>
      <c r="D24" s="32" t="s">
        <v>35</v>
      </c>
      <c r="E24" s="33">
        <v>16893</v>
      </c>
      <c r="F24" s="33">
        <v>52224</v>
      </c>
      <c r="G24" s="33">
        <v>17234</v>
      </c>
      <c r="H24" s="33">
        <v>16216</v>
      </c>
      <c r="I24" s="33">
        <v>16216</v>
      </c>
      <c r="J24" s="34">
        <f>IFERROR(I24/H24-1,"-")</f>
        <v>0</v>
      </c>
      <c r="K24" s="33">
        <f>IFERROR(I24-H24,"-")</f>
        <v>0</v>
      </c>
      <c r="L24" s="34">
        <f>IFERROR(I24/$I$22,"-")</f>
        <v>0.43809266513575579</v>
      </c>
    </row>
    <row r="25" spans="2:12" ht="7.5" customHeight="1" x14ac:dyDescent="0.25">
      <c r="B25" s="280" t="s">
        <v>12</v>
      </c>
      <c r="C25" s="280"/>
      <c r="D25" s="280"/>
      <c r="E25" s="280"/>
      <c r="F25" s="280"/>
      <c r="G25" s="280"/>
      <c r="H25" s="280"/>
      <c r="I25" s="280"/>
      <c r="J25" s="280"/>
      <c r="K25" s="280"/>
      <c r="L25" s="49"/>
    </row>
    <row r="26" spans="2:12" ht="24.75" customHeight="1" x14ac:dyDescent="0.25">
      <c r="B26" s="281" t="s">
        <v>39</v>
      </c>
      <c r="C26" s="282"/>
      <c r="D26" s="282"/>
      <c r="E26" s="282"/>
      <c r="F26" s="282"/>
      <c r="G26" s="282"/>
      <c r="H26" s="282"/>
      <c r="I26" s="282"/>
      <c r="J26" s="282"/>
      <c r="K26" s="282"/>
    </row>
    <row r="29" spans="2:12" ht="21.75" customHeight="1" thickBot="1" x14ac:dyDescent="0.3">
      <c r="B29" s="283" t="s">
        <v>230</v>
      </c>
      <c r="C29" s="283"/>
      <c r="D29" s="283"/>
      <c r="E29" s="283"/>
      <c r="F29" s="283"/>
      <c r="G29" s="283"/>
      <c r="H29" s="283"/>
      <c r="I29" s="283"/>
      <c r="J29" s="283"/>
      <c r="K29" s="283"/>
      <c r="L29" s="12"/>
    </row>
    <row r="30" spans="2:12" ht="6" customHeight="1" thickBot="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2:12" ht="60" x14ac:dyDescent="0.25">
      <c r="B31" s="4"/>
      <c r="C31" s="4"/>
      <c r="D31" s="4"/>
      <c r="E31" s="13" t="s">
        <v>236</v>
      </c>
      <c r="F31" s="13" t="s">
        <v>237</v>
      </c>
      <c r="G31" s="13" t="s">
        <v>238</v>
      </c>
      <c r="H31" s="13" t="s">
        <v>239</v>
      </c>
      <c r="I31" s="13" t="s">
        <v>240</v>
      </c>
      <c r="J31" s="14" t="str">
        <f>CONCATENATE("var. ",RIGHT(I31,2),"/",RIGHT(H31,2))</f>
        <v>var. 25/24</v>
      </c>
      <c r="K31" s="14" t="str">
        <f>CONCATENATE("dif. ",RIGHT(I31,2),"/",RIGHT(H31,2))</f>
        <v>dif. 25/24</v>
      </c>
      <c r="L31" s="14" t="str">
        <f>CONCATENATE("cuota ",I31)</f>
        <v>cuota acumulado a diciembre 2025</v>
      </c>
    </row>
    <row r="32" spans="2:12" ht="15" customHeight="1" x14ac:dyDescent="0.25">
      <c r="B32" s="296" t="s">
        <v>48</v>
      </c>
      <c r="C32" s="286" t="s">
        <v>8</v>
      </c>
      <c r="D32" s="15" t="s">
        <v>33</v>
      </c>
      <c r="E32" s="51">
        <v>492258</v>
      </c>
      <c r="F32" s="51">
        <v>1243535</v>
      </c>
      <c r="G32" s="51">
        <v>1320376</v>
      </c>
      <c r="H32" s="51">
        <v>1387795</v>
      </c>
      <c r="I32" s="51">
        <v>1421549</v>
      </c>
      <c r="J32" s="17">
        <f>I32/H32-1</f>
        <v>2.4322036035581585E-2</v>
      </c>
      <c r="K32" s="16">
        <f>I32-H32</f>
        <v>33754</v>
      </c>
      <c r="L32" s="18">
        <f>I32/$I$32</f>
        <v>1</v>
      </c>
    </row>
    <row r="33" spans="1:12" x14ac:dyDescent="0.25">
      <c r="B33" s="284"/>
      <c r="C33" s="287"/>
      <c r="D33" s="19" t="s">
        <v>34</v>
      </c>
      <c r="E33" s="52">
        <v>256749</v>
      </c>
      <c r="F33" s="52">
        <v>752557</v>
      </c>
      <c r="G33" s="52">
        <v>810911</v>
      </c>
      <c r="H33" s="52">
        <v>861439</v>
      </c>
      <c r="I33" s="52">
        <v>876767</v>
      </c>
      <c r="J33" s="21">
        <f t="shared" ref="J33:J45" si="4">I33/H33-1</f>
        <v>1.7793482765465773E-2</v>
      </c>
      <c r="K33" s="20">
        <f t="shared" ref="K33:K42" si="5">I33-H33</f>
        <v>15328</v>
      </c>
      <c r="L33" s="22">
        <f>I33/$I$32</f>
        <v>0.61676875014508825</v>
      </c>
    </row>
    <row r="34" spans="1:12" x14ac:dyDescent="0.25">
      <c r="B34" s="284"/>
      <c r="C34" s="288"/>
      <c r="D34" s="23" t="s">
        <v>35</v>
      </c>
      <c r="E34" s="24">
        <v>235509</v>
      </c>
      <c r="F34" s="24">
        <v>490978</v>
      </c>
      <c r="G34" s="24">
        <v>509465</v>
      </c>
      <c r="H34" s="24">
        <v>526356</v>
      </c>
      <c r="I34" s="24">
        <v>544782</v>
      </c>
      <c r="J34" s="25">
        <f>IFERROR(I34/H34-1,"-")</f>
        <v>3.5006725486172785E-2</v>
      </c>
      <c r="K34" s="24">
        <f>IFERROR(I34-H34,"-")</f>
        <v>18426</v>
      </c>
      <c r="L34" s="25">
        <f>IFERROR(I34/I32,"-")</f>
        <v>0.3832312498549118</v>
      </c>
    </row>
    <row r="35" spans="1:12" x14ac:dyDescent="0.25">
      <c r="B35" s="284"/>
      <c r="C35" s="289" t="s">
        <v>36</v>
      </c>
      <c r="D35" s="26" t="s">
        <v>33</v>
      </c>
      <c r="E35" s="53">
        <v>494807</v>
      </c>
      <c r="F35" s="53">
        <v>1265143</v>
      </c>
      <c r="G35" s="53">
        <v>1346478</v>
      </c>
      <c r="H35" s="53">
        <v>1414199</v>
      </c>
      <c r="I35" s="53">
        <v>1450547</v>
      </c>
      <c r="J35" s="28">
        <f t="shared" si="4"/>
        <v>2.5702181941862579E-2</v>
      </c>
      <c r="K35" s="27">
        <f t="shared" si="5"/>
        <v>36348</v>
      </c>
      <c r="L35" s="18">
        <f>I35/$I$35</f>
        <v>1</v>
      </c>
    </row>
    <row r="36" spans="1:12" x14ac:dyDescent="0.25">
      <c r="B36" s="284"/>
      <c r="C36" s="290"/>
      <c r="D36" s="4" t="s">
        <v>34</v>
      </c>
      <c r="E36" s="54">
        <v>257410</v>
      </c>
      <c r="F36" s="54">
        <v>764071</v>
      </c>
      <c r="G36" s="54">
        <v>826953</v>
      </c>
      <c r="H36" s="54">
        <v>875761</v>
      </c>
      <c r="I36" s="54">
        <v>893897</v>
      </c>
      <c r="J36" s="30">
        <f t="shared" si="4"/>
        <v>2.0708846363334255E-2</v>
      </c>
      <c r="K36" s="29">
        <f t="shared" si="5"/>
        <v>18136</v>
      </c>
      <c r="L36" s="31">
        <f>I36/$I$35</f>
        <v>0.61624821532842433</v>
      </c>
    </row>
    <row r="37" spans="1:12" x14ac:dyDescent="0.25">
      <c r="B37" s="284"/>
      <c r="C37" s="291"/>
      <c r="D37" s="32" t="s">
        <v>35</v>
      </c>
      <c r="E37" s="33">
        <v>237397</v>
      </c>
      <c r="F37" s="33">
        <v>501072</v>
      </c>
      <c r="G37" s="33">
        <v>519525</v>
      </c>
      <c r="H37" s="33">
        <v>538438</v>
      </c>
      <c r="I37" s="33">
        <v>556650</v>
      </c>
      <c r="J37" s="34">
        <f>IFERROR(I37/H37-1,"-")</f>
        <v>3.3823764295981995E-2</v>
      </c>
      <c r="K37" s="33">
        <f>IFERROR(I37-H37,"-")</f>
        <v>18212</v>
      </c>
      <c r="L37" s="34">
        <f>IFERROR(I37/I35,"-")</f>
        <v>0.38375178467157561</v>
      </c>
    </row>
    <row r="38" spans="1:12" x14ac:dyDescent="0.25">
      <c r="B38" s="284"/>
      <c r="C38" s="286" t="s">
        <v>22</v>
      </c>
      <c r="D38" s="15" t="s">
        <v>33</v>
      </c>
      <c r="E38" s="51">
        <v>3367162</v>
      </c>
      <c r="F38" s="51">
        <v>8865243</v>
      </c>
      <c r="G38" s="51">
        <v>9740327</v>
      </c>
      <c r="H38" s="51">
        <v>10013119</v>
      </c>
      <c r="I38" s="51">
        <v>9994134</v>
      </c>
      <c r="J38" s="17">
        <f t="shared" si="4"/>
        <v>-1.8960126210424422E-3</v>
      </c>
      <c r="K38" s="16">
        <f t="shared" si="5"/>
        <v>-18985</v>
      </c>
      <c r="L38" s="18">
        <f>I38/$I$38</f>
        <v>1</v>
      </c>
    </row>
    <row r="39" spans="1:12" x14ac:dyDescent="0.25">
      <c r="B39" s="284"/>
      <c r="C39" s="287"/>
      <c r="D39" s="19" t="s">
        <v>34</v>
      </c>
      <c r="E39" s="52">
        <v>1777946</v>
      </c>
      <c r="F39" s="52">
        <v>5217075</v>
      </c>
      <c r="G39" s="52">
        <v>5776213</v>
      </c>
      <c r="H39" s="52">
        <v>5854909</v>
      </c>
      <c r="I39" s="52">
        <v>5885086</v>
      </c>
      <c r="J39" s="21">
        <f t="shared" si="4"/>
        <v>5.1541364690723679E-3</v>
      </c>
      <c r="K39" s="20">
        <f t="shared" si="5"/>
        <v>30177</v>
      </c>
      <c r="L39" s="22">
        <f>I39/$I$38</f>
        <v>0.58885402176916979</v>
      </c>
    </row>
    <row r="40" spans="1:12" x14ac:dyDescent="0.25">
      <c r="B40" s="284"/>
      <c r="C40" s="288"/>
      <c r="D40" s="23" t="s">
        <v>35</v>
      </c>
      <c r="E40" s="24">
        <v>1589216</v>
      </c>
      <c r="F40" s="24">
        <v>3648168</v>
      </c>
      <c r="G40" s="24">
        <v>3964114</v>
      </c>
      <c r="H40" s="24">
        <v>4158210</v>
      </c>
      <c r="I40" s="24">
        <v>4109048</v>
      </c>
      <c r="J40" s="25">
        <f>IFERROR(I40/H40-1,"-")</f>
        <v>-1.1822875708538017E-2</v>
      </c>
      <c r="K40" s="24">
        <f>IFERROR(I40-H40,"-")</f>
        <v>-49162</v>
      </c>
      <c r="L40" s="25">
        <f>IFERROR(I40/I38,"-")</f>
        <v>0.41114597823083021</v>
      </c>
    </row>
    <row r="41" spans="1:12" x14ac:dyDescent="0.25">
      <c r="B41" s="284"/>
      <c r="C41" s="289" t="s">
        <v>23</v>
      </c>
      <c r="D41" s="26" t="s">
        <v>33</v>
      </c>
      <c r="E41" s="55">
        <v>6.8402382490482632</v>
      </c>
      <c r="F41" s="55">
        <v>7.1290659289847085</v>
      </c>
      <c r="G41" s="55">
        <v>7.3769342975031353</v>
      </c>
      <c r="H41" s="55">
        <v>7.2151283150609418</v>
      </c>
      <c r="I41" s="55">
        <v>7.0304533997772856</v>
      </c>
      <c r="J41" s="36">
        <f t="shared" si="4"/>
        <v>-2.5595513651249124E-2</v>
      </c>
      <c r="K41" s="37">
        <f t="shared" si="5"/>
        <v>-0.1846749152836562</v>
      </c>
      <c r="L41" s="38"/>
    </row>
    <row r="42" spans="1:12" x14ac:dyDescent="0.25">
      <c r="B42" s="284"/>
      <c r="C42" s="290"/>
      <c r="D42" s="4" t="s">
        <v>34</v>
      </c>
      <c r="E42" s="56">
        <f t="shared" ref="E42:I42" si="6">E39/E33</f>
        <v>6.9248409925647225</v>
      </c>
      <c r="F42" s="56">
        <f t="shared" si="6"/>
        <v>6.932464916278767</v>
      </c>
      <c r="G42" s="56">
        <f t="shared" si="6"/>
        <v>7.1231158536510168</v>
      </c>
      <c r="H42" s="56">
        <f t="shared" si="6"/>
        <v>6.7966611681152118</v>
      </c>
      <c r="I42" s="56">
        <f t="shared" si="6"/>
        <v>6.7122576465583217</v>
      </c>
      <c r="J42" s="40">
        <f t="shared" si="4"/>
        <v>-1.241838006473639E-2</v>
      </c>
      <c r="K42" s="41">
        <f t="shared" si="5"/>
        <v>-8.4403521556890126E-2</v>
      </c>
      <c r="L42" s="42"/>
    </row>
    <row r="43" spans="1:12" x14ac:dyDescent="0.25">
      <c r="B43" s="284"/>
      <c r="C43" s="291"/>
      <c r="D43" s="32" t="s">
        <v>35</v>
      </c>
      <c r="E43" s="43">
        <f>IFERROR(E40/E34,"-")</f>
        <v>6.7480053840829859</v>
      </c>
      <c r="F43" s="43">
        <f t="shared" ref="F43:I43" si="7">IFERROR(F40/F34,"-")</f>
        <v>7.4304103238841659</v>
      </c>
      <c r="G43" s="43">
        <f t="shared" si="7"/>
        <v>7.7809349022994709</v>
      </c>
      <c r="H43" s="43">
        <f t="shared" si="7"/>
        <v>7.8999954403483574</v>
      </c>
      <c r="I43" s="43">
        <f t="shared" si="7"/>
        <v>7.5425546365335121</v>
      </c>
      <c r="J43" s="34">
        <f>IFERROR(I43/H43-1,"-")</f>
        <v>-4.524569748347651E-2</v>
      </c>
      <c r="K43" s="44">
        <f>IFERROR(I43-H43,"-")</f>
        <v>-0.35744080381484533</v>
      </c>
      <c r="L43" s="57"/>
    </row>
    <row r="44" spans="1:12" x14ac:dyDescent="0.25">
      <c r="A44" s="58"/>
      <c r="B44" s="284"/>
      <c r="C44" s="292" t="s">
        <v>37</v>
      </c>
      <c r="D44" s="15" t="s">
        <v>33</v>
      </c>
      <c r="E44" s="59">
        <v>0.38237984856351559</v>
      </c>
      <c r="F44" s="59">
        <v>0.58966570828384113</v>
      </c>
      <c r="G44" s="59">
        <v>0.7120968992437916</v>
      </c>
      <c r="H44" s="59">
        <v>0.69114669074227841</v>
      </c>
      <c r="I44" s="59">
        <v>0.73569515745498237</v>
      </c>
      <c r="J44" s="59">
        <f t="shared" si="4"/>
        <v>6.4455877904674219E-2</v>
      </c>
      <c r="K44" s="45">
        <f>(I44-H44)*100</f>
        <v>4.4548466712703956</v>
      </c>
      <c r="L44" s="18"/>
    </row>
    <row r="45" spans="1:12" x14ac:dyDescent="0.25">
      <c r="B45" s="284"/>
      <c r="C45" s="293"/>
      <c r="D45" s="19" t="s">
        <v>34</v>
      </c>
      <c r="E45" s="60">
        <v>0.46630368359626001</v>
      </c>
      <c r="F45" s="60">
        <v>0.67828567936803452</v>
      </c>
      <c r="G45" s="60">
        <v>0.78267164381948651</v>
      </c>
      <c r="H45" s="60">
        <v>0.74871629285684138</v>
      </c>
      <c r="I45" s="60">
        <v>0.76744250035763473</v>
      </c>
      <c r="J45" s="60">
        <f t="shared" si="4"/>
        <v>2.5011085880528361E-2</v>
      </c>
      <c r="K45" s="46">
        <f>(I45-H45)*100</f>
        <v>1.8726207500793346</v>
      </c>
      <c r="L45" s="22"/>
    </row>
    <row r="46" spans="1:12" x14ac:dyDescent="0.25">
      <c r="B46" s="284"/>
      <c r="C46" s="294"/>
      <c r="D46" s="23" t="s">
        <v>35</v>
      </c>
      <c r="E46" s="61">
        <v>0.3182917367153793</v>
      </c>
      <c r="F46" s="61">
        <v>0.49683649030600613</v>
      </c>
      <c r="G46" s="61">
        <v>0.62939927757710479</v>
      </c>
      <c r="H46" s="61">
        <v>0.69048905178456166</v>
      </c>
      <c r="I46" s="61">
        <v>0.69454481899957643</v>
      </c>
      <c r="J46" s="25">
        <f>IFERROR(I46/H46-1,"-")</f>
        <v>5.8737603507725833E-3</v>
      </c>
      <c r="K46" s="47">
        <f>IFERROR(I46-H46,"-")</f>
        <v>4.0557672150147717E-3</v>
      </c>
      <c r="L46" s="48"/>
    </row>
    <row r="47" spans="1:12" x14ac:dyDescent="0.25">
      <c r="B47" s="284"/>
      <c r="C47" s="295" t="s">
        <v>40</v>
      </c>
      <c r="D47" s="26" t="s">
        <v>33</v>
      </c>
      <c r="E47" s="53">
        <v>24064.333333333332</v>
      </c>
      <c r="F47" s="53">
        <v>41118.666666666664</v>
      </c>
      <c r="G47" s="53">
        <v>37475.083333333336</v>
      </c>
      <c r="H47" s="53">
        <v>39555.75</v>
      </c>
      <c r="I47" s="53">
        <v>37223.166666666664</v>
      </c>
      <c r="J47" s="36">
        <f>I47/H47-1</f>
        <v>-5.8969513492560188E-2</v>
      </c>
      <c r="K47" s="27">
        <f>I47-H47</f>
        <v>-2332.5833333333358</v>
      </c>
      <c r="L47" s="38">
        <f>I47/$I$22</f>
        <v>1.0056238461884821</v>
      </c>
    </row>
    <row r="48" spans="1:12" x14ac:dyDescent="0.25">
      <c r="B48" s="284"/>
      <c r="C48" s="290"/>
      <c r="D48" s="4" t="s">
        <v>34</v>
      </c>
      <c r="E48" s="54">
        <v>10403.25</v>
      </c>
      <c r="F48" s="54">
        <v>21062.5</v>
      </c>
      <c r="G48" s="54">
        <v>20218.416666666668</v>
      </c>
      <c r="H48" s="54">
        <v>21363</v>
      </c>
      <c r="I48" s="54">
        <v>21014.333333333332</v>
      </c>
      <c r="J48" s="40">
        <f>I48/H48-1</f>
        <v>-1.6321053534928076E-2</v>
      </c>
      <c r="K48" s="29">
        <f>I48-H48</f>
        <v>-348.66666666666788</v>
      </c>
      <c r="L48" s="42">
        <f>I48/$I$22</f>
        <v>0.56772479625377092</v>
      </c>
    </row>
    <row r="49" spans="2:12" x14ac:dyDescent="0.25">
      <c r="B49" s="285"/>
      <c r="C49" s="291"/>
      <c r="D49" s="32" t="s">
        <v>35</v>
      </c>
      <c r="E49" s="33">
        <v>13661.083333333334</v>
      </c>
      <c r="F49" s="33">
        <v>20056.166666666668</v>
      </c>
      <c r="G49" s="33">
        <v>17256.666666666668</v>
      </c>
      <c r="H49" s="33">
        <v>16457.166666666668</v>
      </c>
      <c r="I49" s="33">
        <v>16208.833333333334</v>
      </c>
      <c r="J49" s="34">
        <f>IFERROR(I49/H49-1,"-")</f>
        <v>-1.5089677242943855E-2</v>
      </c>
      <c r="K49" s="33">
        <f>IFERROR(I49-H49,"-")</f>
        <v>-248.33333333333394</v>
      </c>
      <c r="L49" s="34">
        <f>IFERROR(I49/I47,"-")</f>
        <v>0.4354501452948209</v>
      </c>
    </row>
    <row r="50" spans="2:12" ht="6" customHeight="1" x14ac:dyDescent="0.25">
      <c r="B50" s="280"/>
      <c r="C50" s="280"/>
      <c r="D50" s="280"/>
      <c r="E50" s="280"/>
      <c r="F50" s="280"/>
      <c r="G50" s="280"/>
      <c r="H50" s="280"/>
      <c r="I50" s="280"/>
      <c r="J50" s="280"/>
      <c r="K50" s="280"/>
      <c r="L50" s="49"/>
    </row>
    <row r="51" spans="2:12" ht="28.5" customHeight="1" x14ac:dyDescent="0.25">
      <c r="B51" s="281" t="s">
        <v>41</v>
      </c>
      <c r="C51" s="282"/>
      <c r="D51" s="282"/>
      <c r="E51" s="282"/>
      <c r="F51" s="282"/>
      <c r="G51" s="282"/>
      <c r="H51" s="282"/>
      <c r="I51" s="282"/>
      <c r="J51" s="282"/>
      <c r="K51" s="282"/>
    </row>
    <row r="52" spans="2:12" x14ac:dyDescent="0.25">
      <c r="B52" s="62"/>
    </row>
    <row r="54" spans="2:12" ht="21.75" thickBot="1" x14ac:dyDescent="0.3">
      <c r="B54" s="283" t="s">
        <v>230</v>
      </c>
      <c r="C54" s="283"/>
      <c r="D54" s="283"/>
      <c r="E54" s="283"/>
      <c r="F54" s="283"/>
      <c r="G54" s="283"/>
      <c r="H54" s="283"/>
      <c r="I54" s="283"/>
      <c r="J54" s="283"/>
      <c r="K54" s="283"/>
      <c r="L54" s="12"/>
    </row>
    <row r="55" spans="2:12" ht="15.75" thickBot="1" x14ac:dyDescent="0.3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2:12" x14ac:dyDescent="0.25">
      <c r="B56" s="4"/>
      <c r="C56" s="4"/>
      <c r="D56" s="4"/>
      <c r="E56" s="14">
        <v>2021</v>
      </c>
      <c r="F56" s="14">
        <v>2022</v>
      </c>
      <c r="G56" s="14">
        <v>2023</v>
      </c>
      <c r="H56" s="14">
        <v>2024</v>
      </c>
      <c r="I56" s="14">
        <v>2025</v>
      </c>
      <c r="J56" s="14" t="str">
        <f>CONCATENATE("var. ",RIGHT(I56,2),"/",RIGHT(H56,2))</f>
        <v>var. 25/24</v>
      </c>
      <c r="K56" s="14" t="str">
        <f>CONCATENATE("dif. ",RIGHT(I56,2),"/",RIGHT(H56,2))</f>
        <v>dif. 25/24</v>
      </c>
      <c r="L56" s="14" t="str">
        <f>CONCATENATE("cuota ",I56)</f>
        <v>cuota 2025</v>
      </c>
    </row>
    <row r="57" spans="2:12" x14ac:dyDescent="0.25">
      <c r="B57" s="284"/>
      <c r="C57" s="286" t="s">
        <v>8</v>
      </c>
      <c r="D57" s="15" t="s">
        <v>33</v>
      </c>
      <c r="E57" s="51">
        <v>492258</v>
      </c>
      <c r="F57" s="51">
        <v>1243535</v>
      </c>
      <c r="G57" s="51">
        <v>1320376</v>
      </c>
      <c r="H57" s="51">
        <v>1387795</v>
      </c>
      <c r="I57" s="51">
        <v>1421549</v>
      </c>
      <c r="J57" s="17">
        <f>I57/H57-1</f>
        <v>2.4322036035581585E-2</v>
      </c>
      <c r="K57" s="16">
        <f>I57-H57</f>
        <v>33754</v>
      </c>
      <c r="L57" s="17">
        <f>I57/$I$57</f>
        <v>1</v>
      </c>
    </row>
    <row r="58" spans="2:12" x14ac:dyDescent="0.25">
      <c r="B58" s="284"/>
      <c r="C58" s="287"/>
      <c r="D58" s="19" t="s">
        <v>34</v>
      </c>
      <c r="E58" s="52">
        <v>256749</v>
      </c>
      <c r="F58" s="52">
        <v>752557</v>
      </c>
      <c r="G58" s="52">
        <v>810911</v>
      </c>
      <c r="H58" s="52">
        <v>861439</v>
      </c>
      <c r="I58" s="52">
        <v>876767</v>
      </c>
      <c r="J58" s="21">
        <f>I58/H58-1</f>
        <v>1.7793482765465773E-2</v>
      </c>
      <c r="K58" s="20">
        <f>I58-H58</f>
        <v>15328</v>
      </c>
      <c r="L58" s="21">
        <f>I58/$I$57</f>
        <v>0.61676875014508825</v>
      </c>
    </row>
    <row r="59" spans="2:12" x14ac:dyDescent="0.25">
      <c r="B59" s="284"/>
      <c r="C59" s="288"/>
      <c r="D59" s="23" t="s">
        <v>35</v>
      </c>
      <c r="E59" s="24">
        <v>235509</v>
      </c>
      <c r="F59" s="24">
        <v>490978</v>
      </c>
      <c r="G59" s="24">
        <v>509465</v>
      </c>
      <c r="H59" s="24">
        <v>526356</v>
      </c>
      <c r="I59" s="24">
        <v>544782</v>
      </c>
      <c r="J59" s="25">
        <f>IFERROR(I59/H59-1,"-")</f>
        <v>3.5006725486172785E-2</v>
      </c>
      <c r="K59" s="24">
        <f>IFERROR(I59-H59,"-")</f>
        <v>18426</v>
      </c>
      <c r="L59" s="25">
        <f>IFERROR(I59/I57,"-")</f>
        <v>0.3832312498549118</v>
      </c>
    </row>
    <row r="60" spans="2:12" x14ac:dyDescent="0.25">
      <c r="B60" s="284"/>
      <c r="C60" s="289" t="s">
        <v>36</v>
      </c>
      <c r="D60" s="26" t="s">
        <v>33</v>
      </c>
      <c r="E60" s="53">
        <v>494807</v>
      </c>
      <c r="F60" s="53">
        <v>1265143</v>
      </c>
      <c r="G60" s="53">
        <v>1346478</v>
      </c>
      <c r="H60" s="53">
        <v>1414199</v>
      </c>
      <c r="I60" s="53">
        <v>1450547</v>
      </c>
      <c r="J60" s="36">
        <f t="shared" ref="J60:J73" si="8">I60/H60-1</f>
        <v>2.5702181941862579E-2</v>
      </c>
      <c r="K60" s="53">
        <f t="shared" ref="K60:K73" si="9">I60-H60</f>
        <v>36348</v>
      </c>
      <c r="L60" s="36">
        <f>I60/$I$60</f>
        <v>1</v>
      </c>
    </row>
    <row r="61" spans="2:12" x14ac:dyDescent="0.25">
      <c r="B61" s="284"/>
      <c r="C61" s="290"/>
      <c r="D61" s="4" t="s">
        <v>34</v>
      </c>
      <c r="E61" s="54">
        <v>257410</v>
      </c>
      <c r="F61" s="54">
        <v>764071</v>
      </c>
      <c r="G61" s="54">
        <v>826953</v>
      </c>
      <c r="H61" s="54">
        <v>875761</v>
      </c>
      <c r="I61" s="54">
        <v>893897</v>
      </c>
      <c r="J61" s="40">
        <f t="shared" si="8"/>
        <v>2.0708846363334255E-2</v>
      </c>
      <c r="K61" s="54">
        <f t="shared" si="9"/>
        <v>18136</v>
      </c>
      <c r="L61" s="40">
        <f>I61/$I$60</f>
        <v>0.61624821532842433</v>
      </c>
    </row>
    <row r="62" spans="2:12" x14ac:dyDescent="0.25">
      <c r="B62" s="284"/>
      <c r="C62" s="291"/>
      <c r="D62" s="32" t="s">
        <v>35</v>
      </c>
      <c r="E62" s="33">
        <v>237397</v>
      </c>
      <c r="F62" s="33">
        <v>501072</v>
      </c>
      <c r="G62" s="33">
        <v>519525</v>
      </c>
      <c r="H62" s="33">
        <v>538438</v>
      </c>
      <c r="I62" s="33">
        <v>556650</v>
      </c>
      <c r="J62" s="34">
        <f>IFERROR(I62/H62-1,"-")</f>
        <v>3.3823764295981995E-2</v>
      </c>
      <c r="K62" s="33">
        <f>IFERROR(I62-H62,"-")</f>
        <v>18212</v>
      </c>
      <c r="L62" s="63">
        <f>IFERROR(I62/I60,"-")</f>
        <v>0.38375178467157561</v>
      </c>
    </row>
    <row r="63" spans="2:12" x14ac:dyDescent="0.25">
      <c r="B63" s="284"/>
      <c r="C63" s="286" t="s">
        <v>22</v>
      </c>
      <c r="D63" s="15" t="s">
        <v>33</v>
      </c>
      <c r="E63" s="51">
        <v>3367162</v>
      </c>
      <c r="F63" s="51">
        <v>8865243</v>
      </c>
      <c r="G63" s="51">
        <v>9740327</v>
      </c>
      <c r="H63" s="51">
        <v>10013119</v>
      </c>
      <c r="I63" s="51">
        <v>9994134</v>
      </c>
      <c r="J63" s="17">
        <f t="shared" si="8"/>
        <v>-1.8960126210424422E-3</v>
      </c>
      <c r="K63" s="16">
        <f t="shared" si="9"/>
        <v>-18985</v>
      </c>
      <c r="L63" s="17">
        <f>I63/$I$63</f>
        <v>1</v>
      </c>
    </row>
    <row r="64" spans="2:12" x14ac:dyDescent="0.25">
      <c r="B64" s="284"/>
      <c r="C64" s="287"/>
      <c r="D64" s="19" t="s">
        <v>34</v>
      </c>
      <c r="E64" s="52">
        <v>1777946</v>
      </c>
      <c r="F64" s="52">
        <v>5217075</v>
      </c>
      <c r="G64" s="52">
        <v>5776213</v>
      </c>
      <c r="H64" s="52">
        <v>5854909</v>
      </c>
      <c r="I64" s="52">
        <v>5885086</v>
      </c>
      <c r="J64" s="21">
        <f t="shared" si="8"/>
        <v>5.1541364690723679E-3</v>
      </c>
      <c r="K64" s="20">
        <f t="shared" si="9"/>
        <v>30177</v>
      </c>
      <c r="L64" s="21">
        <f t="shared" ref="L64" si="10">I64/$I$63</f>
        <v>0.58885402176916979</v>
      </c>
    </row>
    <row r="65" spans="2:12" x14ac:dyDescent="0.25">
      <c r="B65" s="284"/>
      <c r="C65" s="288"/>
      <c r="D65" s="23" t="s">
        <v>35</v>
      </c>
      <c r="E65" s="24">
        <v>1589216</v>
      </c>
      <c r="F65" s="24">
        <v>3648168</v>
      </c>
      <c r="G65" s="24">
        <v>3964114</v>
      </c>
      <c r="H65" s="24">
        <v>4158210</v>
      </c>
      <c r="I65" s="24">
        <v>4109048</v>
      </c>
      <c r="J65" s="25">
        <f>IFERROR(I65/H65-1,"-")</f>
        <v>-1.1822875708538017E-2</v>
      </c>
      <c r="K65" s="24">
        <f>IFERROR(I65-H65,"-")</f>
        <v>-49162</v>
      </c>
      <c r="L65" s="25">
        <f>IFERROR(I65/I63,"-")</f>
        <v>0.41114597823083021</v>
      </c>
    </row>
    <row r="66" spans="2:12" x14ac:dyDescent="0.25">
      <c r="B66" s="284"/>
      <c r="C66" s="289" t="s">
        <v>23</v>
      </c>
      <c r="D66" s="26" t="s">
        <v>33</v>
      </c>
      <c r="E66" s="55">
        <v>6.8402382490482632</v>
      </c>
      <c r="F66" s="55">
        <v>7.1290659289847085</v>
      </c>
      <c r="G66" s="55">
        <v>7.3769342975031353</v>
      </c>
      <c r="H66" s="55">
        <v>7.2151283150609418</v>
      </c>
      <c r="I66" s="55">
        <v>7.0304533997772856</v>
      </c>
      <c r="J66" s="36">
        <f t="shared" si="8"/>
        <v>-2.5595513651249124E-2</v>
      </c>
      <c r="K66" s="37">
        <f t="shared" si="9"/>
        <v>-0.1846749152836562</v>
      </c>
      <c r="L66" s="36"/>
    </row>
    <row r="67" spans="2:12" x14ac:dyDescent="0.25">
      <c r="B67" s="284"/>
      <c r="C67" s="290"/>
      <c r="D67" s="4" t="s">
        <v>34</v>
      </c>
      <c r="E67" s="56">
        <f t="shared" ref="E67:I67" si="11">E64/E57</f>
        <v>3.6118173803168259</v>
      </c>
      <c r="F67" s="56">
        <f t="shared" si="11"/>
        <v>4.1953583936117598</v>
      </c>
      <c r="G67" s="56">
        <f t="shared" si="11"/>
        <v>4.3746728204693213</v>
      </c>
      <c r="H67" s="56">
        <f t="shared" si="11"/>
        <v>4.2188572519716532</v>
      </c>
      <c r="I67" s="56">
        <f t="shared" si="11"/>
        <v>4.1399107593195872</v>
      </c>
      <c r="J67" s="40">
        <f t="shared" si="8"/>
        <v>-1.8712766973846051E-2</v>
      </c>
      <c r="K67" s="41">
        <f t="shared" si="9"/>
        <v>-7.8946492652065992E-2</v>
      </c>
      <c r="L67" s="40"/>
    </row>
    <row r="68" spans="2:12" x14ac:dyDescent="0.25">
      <c r="B68" s="284"/>
      <c r="C68" s="291"/>
      <c r="D68" s="32" t="s">
        <v>35</v>
      </c>
      <c r="E68" s="43">
        <f>IFERROR(E65/E59,"-")</f>
        <v>6.7480053840829859</v>
      </c>
      <c r="F68" s="43">
        <f t="shared" ref="F68:I68" si="12">IFERROR(F65/F59,"-")</f>
        <v>7.4304103238841659</v>
      </c>
      <c r="G68" s="43">
        <f t="shared" si="12"/>
        <v>7.7809349022994709</v>
      </c>
      <c r="H68" s="43">
        <f t="shared" si="12"/>
        <v>7.8999954403483574</v>
      </c>
      <c r="I68" s="43">
        <f t="shared" si="12"/>
        <v>7.5425546365335121</v>
      </c>
      <c r="J68" s="34">
        <f>IFERROR(I68/H68-1,"-")</f>
        <v>-4.524569748347651E-2</v>
      </c>
      <c r="K68" s="44">
        <f>IFERROR(I68-H68,"-")</f>
        <v>-0.35744080381484533</v>
      </c>
      <c r="L68" s="63"/>
    </row>
    <row r="69" spans="2:12" x14ac:dyDescent="0.25">
      <c r="B69" s="284"/>
      <c r="C69" s="292" t="s">
        <v>37</v>
      </c>
      <c r="D69" s="15" t="s">
        <v>33</v>
      </c>
      <c r="E69" s="59">
        <v>0.38237984856351559</v>
      </c>
      <c r="F69" s="59">
        <v>0.58966570828384113</v>
      </c>
      <c r="G69" s="59">
        <v>0.7120968992437916</v>
      </c>
      <c r="H69" s="59">
        <v>0.69114669074227841</v>
      </c>
      <c r="I69" s="59">
        <v>0.73569515745498237</v>
      </c>
      <c r="J69" s="59">
        <f t="shared" si="8"/>
        <v>6.4455877904674219E-2</v>
      </c>
      <c r="K69" s="45">
        <f t="shared" si="9"/>
        <v>4.454846671270396E-2</v>
      </c>
      <c r="L69" s="17"/>
    </row>
    <row r="70" spans="2:12" x14ac:dyDescent="0.25">
      <c r="B70" s="284"/>
      <c r="C70" s="293"/>
      <c r="D70" s="19" t="s">
        <v>34</v>
      </c>
      <c r="E70" s="60">
        <v>0.46630368359626001</v>
      </c>
      <c r="F70" s="60">
        <v>0.67828567936803452</v>
      </c>
      <c r="G70" s="60">
        <v>0.78267164381948651</v>
      </c>
      <c r="H70" s="60">
        <v>0.74871629285684138</v>
      </c>
      <c r="I70" s="60">
        <v>0.76744250035763473</v>
      </c>
      <c r="J70" s="60">
        <f t="shared" si="8"/>
        <v>2.5011085880528361E-2</v>
      </c>
      <c r="K70" s="46">
        <f t="shared" si="9"/>
        <v>1.8726207500793346E-2</v>
      </c>
      <c r="L70" s="21"/>
    </row>
    <row r="71" spans="2:12" x14ac:dyDescent="0.25">
      <c r="B71" s="284"/>
      <c r="C71" s="294"/>
      <c r="D71" s="23" t="s">
        <v>35</v>
      </c>
      <c r="E71" s="61">
        <v>0.3182917367153793</v>
      </c>
      <c r="F71" s="61">
        <v>0.49683649030600613</v>
      </c>
      <c r="G71" s="61">
        <v>0.62939927757710479</v>
      </c>
      <c r="H71" s="61">
        <v>0.69048905178456166</v>
      </c>
      <c r="I71" s="61">
        <v>0.69454481899957643</v>
      </c>
      <c r="J71" s="25">
        <f>IFERROR(I71/H71-1,"-")</f>
        <v>5.8737603507725833E-3</v>
      </c>
      <c r="K71" s="47">
        <f>IFERROR(I71-H71,"-")</f>
        <v>4.0557672150147717E-3</v>
      </c>
      <c r="L71" s="25"/>
    </row>
    <row r="72" spans="2:12" x14ac:dyDescent="0.25">
      <c r="B72" s="284"/>
      <c r="C72" s="295" t="s">
        <v>42</v>
      </c>
      <c r="D72" s="26" t="s">
        <v>33</v>
      </c>
      <c r="E72" s="53">
        <v>24064</v>
      </c>
      <c r="F72" s="53">
        <v>41119</v>
      </c>
      <c r="G72" s="53">
        <v>37475</v>
      </c>
      <c r="H72" s="53">
        <v>39556</v>
      </c>
      <c r="I72" s="53">
        <v>37223</v>
      </c>
      <c r="J72" s="36">
        <f t="shared" si="8"/>
        <v>-5.897967438568108E-2</v>
      </c>
      <c r="K72" s="27">
        <f t="shared" si="9"/>
        <v>-2333</v>
      </c>
      <c r="L72" s="36">
        <f>I72/$I$72</f>
        <v>1</v>
      </c>
    </row>
    <row r="73" spans="2:12" x14ac:dyDescent="0.25">
      <c r="B73" s="284"/>
      <c r="C73" s="290"/>
      <c r="D73" s="4" t="s">
        <v>34</v>
      </c>
      <c r="E73" s="54">
        <v>10403</v>
      </c>
      <c r="F73" s="54">
        <v>21063</v>
      </c>
      <c r="G73" s="54">
        <v>20218</v>
      </c>
      <c r="H73" s="54">
        <v>23099</v>
      </c>
      <c r="I73" s="54">
        <v>21014</v>
      </c>
      <c r="J73" s="40">
        <f t="shared" si="8"/>
        <v>-9.0263647776960054E-2</v>
      </c>
      <c r="K73" s="29">
        <f t="shared" si="9"/>
        <v>-2085</v>
      </c>
      <c r="L73" s="40">
        <f t="shared" ref="L73" si="13">I73/$I$72</f>
        <v>0.56454342745076969</v>
      </c>
    </row>
    <row r="74" spans="2:12" x14ac:dyDescent="0.25">
      <c r="B74" s="285"/>
      <c r="C74" s="291"/>
      <c r="D74" s="32" t="s">
        <v>35</v>
      </c>
      <c r="E74" s="33">
        <v>13661</v>
      </c>
      <c r="F74" s="33">
        <v>20056.000000000004</v>
      </c>
      <c r="G74" s="33">
        <v>17257</v>
      </c>
      <c r="H74" s="33">
        <v>16457</v>
      </c>
      <c r="I74" s="33">
        <v>16209</v>
      </c>
      <c r="J74" s="34">
        <f>IFERROR(I74/H74-1,"-")</f>
        <v>-1.5069575256729695E-2</v>
      </c>
      <c r="K74" s="33">
        <f>IFERROR(I74-H74,"-")</f>
        <v>-248</v>
      </c>
      <c r="L74" s="63">
        <f>IFERROR(I74/I72,"-")</f>
        <v>0.43545657254923031</v>
      </c>
    </row>
    <row r="75" spans="2:12" x14ac:dyDescent="0.25">
      <c r="B75" s="280"/>
      <c r="C75" s="280"/>
      <c r="D75" s="280"/>
      <c r="E75" s="280"/>
      <c r="F75" s="280"/>
      <c r="G75" s="280"/>
      <c r="H75" s="280"/>
      <c r="I75" s="280"/>
      <c r="J75" s="280"/>
      <c r="K75" s="280"/>
      <c r="L75" s="49"/>
    </row>
    <row r="76" spans="2:12" ht="27" customHeight="1" x14ac:dyDescent="0.25">
      <c r="B76" s="281" t="s">
        <v>39</v>
      </c>
      <c r="C76" s="282"/>
      <c r="D76" s="282"/>
      <c r="E76" s="282"/>
      <c r="F76" s="282"/>
      <c r="G76" s="282"/>
      <c r="H76" s="282"/>
      <c r="I76" s="282"/>
      <c r="J76" s="282"/>
      <c r="K76" s="282"/>
    </row>
  </sheetData>
  <mergeCells count="30">
    <mergeCell ref="B4:K4"/>
    <mergeCell ref="B7:B24"/>
    <mergeCell ref="C7:C9"/>
    <mergeCell ref="C10:C12"/>
    <mergeCell ref="C13:C15"/>
    <mergeCell ref="C16:C18"/>
    <mergeCell ref="C19:C21"/>
    <mergeCell ref="C22:C24"/>
    <mergeCell ref="B25:K25"/>
    <mergeCell ref="B26:K26"/>
    <mergeCell ref="B29:K29"/>
    <mergeCell ref="B32:B49"/>
    <mergeCell ref="C32:C34"/>
    <mergeCell ref="C35:C37"/>
    <mergeCell ref="C38:C40"/>
    <mergeCell ref="C41:C43"/>
    <mergeCell ref="C44:C46"/>
    <mergeCell ref="C47:C49"/>
    <mergeCell ref="B75:K75"/>
    <mergeCell ref="B76:K76"/>
    <mergeCell ref="B50:K50"/>
    <mergeCell ref="B51:K51"/>
    <mergeCell ref="B54:K54"/>
    <mergeCell ref="B57:B74"/>
    <mergeCell ref="C57:C59"/>
    <mergeCell ref="C60:C62"/>
    <mergeCell ref="C63:C65"/>
    <mergeCell ref="C66:C68"/>
    <mergeCell ref="C69:C71"/>
    <mergeCell ref="C72:C7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983EB-597C-4DCE-8796-4F08533047D0}">
  <sheetPr>
    <tabColor rgb="FFFFC000"/>
  </sheetPr>
  <dimension ref="B4:B25"/>
  <sheetViews>
    <sheetView showGridLines="0" workbookViewId="0">
      <selection activeCell="H9" sqref="H9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D8368-B396-4E9E-A3A6-46ED4C4ECBB0}">
  <sheetPr>
    <tabColor rgb="FFFFC000"/>
  </sheetPr>
  <dimension ref="A1:V164"/>
  <sheetViews>
    <sheetView showGridLines="0" topLeftCell="A12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7" width="13.140625" customWidth="1"/>
    <col min="8" max="9" width="13.7109375" customWidth="1"/>
    <col min="11" max="18" width="11.42578125" hidden="1" customWidth="1"/>
  </cols>
  <sheetData>
    <row r="1" spans="1:18" ht="42.75" customHeight="1" x14ac:dyDescent="0.25"/>
    <row r="5" spans="1:18" ht="42" customHeight="1" thickBot="1" x14ac:dyDescent="0.3">
      <c r="B5" s="283" t="str">
        <f>CONCATENATE("Viajeros alojados en los establecimientos alojativos de según lugar de residencia y municipio de alojamiento (hotel + apartamento)")</f>
        <v>Viajeros alojados en los establecimientos alojativos de según lugar de residencia y municipio de alojamiento (hotel + apartamento)</v>
      </c>
      <c r="C5" s="283"/>
      <c r="D5" s="283"/>
      <c r="E5" s="283"/>
      <c r="F5" s="283"/>
      <c r="G5" s="283"/>
      <c r="H5" s="283"/>
      <c r="I5" s="283"/>
      <c r="K5" s="283" t="s">
        <v>275</v>
      </c>
      <c r="L5" s="283"/>
      <c r="M5" s="283"/>
      <c r="N5" s="283"/>
      <c r="O5" s="283"/>
      <c r="P5" s="283"/>
      <c r="Q5" s="283"/>
      <c r="R5" s="283"/>
    </row>
    <row r="6" spans="1:18" ht="6" customHeight="1" x14ac:dyDescent="0.25"/>
    <row r="7" spans="1:18" ht="15.75" x14ac:dyDescent="0.25">
      <c r="B7" s="147"/>
      <c r="C7" s="313" t="s">
        <v>46</v>
      </c>
      <c r="D7" s="314"/>
      <c r="E7" s="314"/>
      <c r="F7" s="314"/>
      <c r="G7" s="314"/>
      <c r="H7" s="314"/>
      <c r="I7" s="314"/>
    </row>
    <row r="8" spans="1:18" s="148" customFormat="1" ht="72" customHeight="1" x14ac:dyDescent="0.25">
      <c r="A8"/>
      <c r="B8" s="188"/>
      <c r="C8" s="174" t="s">
        <v>231</v>
      </c>
      <c r="D8" s="174" t="s">
        <v>232</v>
      </c>
      <c r="E8" s="174" t="s">
        <v>233</v>
      </c>
      <c r="F8" s="174" t="s">
        <v>234</v>
      </c>
      <c r="G8" s="174" t="s">
        <v>235</v>
      </c>
      <c r="H8" s="175" t="str">
        <f>CONCATENATE("var. ",RIGHT(G8,2),"/",RIGHT(F8,2))</f>
        <v>var. 25/24</v>
      </c>
      <c r="I8" s="175" t="str">
        <f>CONCATENATE("Cuota s/ total lugares de residencia ",RIGHT(G8,4))</f>
        <v>Cuota s/ total lugares de residencia 2025</v>
      </c>
      <c r="K8" s="188"/>
      <c r="L8" s="174" t="s">
        <v>231</v>
      </c>
      <c r="M8" s="174" t="s">
        <v>232</v>
      </c>
      <c r="N8" s="174" t="s">
        <v>233</v>
      </c>
      <c r="O8" s="174" t="s">
        <v>234</v>
      </c>
      <c r="P8" s="174" t="s">
        <v>235</v>
      </c>
      <c r="Q8" s="175" t="str">
        <f>CONCATENATE("var. ",RIGHT(P8,2),"/",RIGHT(O8,2))</f>
        <v>var. 25/24</v>
      </c>
      <c r="R8" s="175" t="str">
        <f>CONCATENATE("Cuota s/ total lugares de residencia ",RIGHT(P8,4))</f>
        <v>Cuota s/ total lugares de residencia 2025</v>
      </c>
    </row>
    <row r="9" spans="1:18" x14ac:dyDescent="0.25">
      <c r="B9" s="154" t="s">
        <v>46</v>
      </c>
      <c r="C9" s="155"/>
      <c r="D9" s="155"/>
      <c r="E9" s="155"/>
      <c r="F9" s="155"/>
      <c r="G9" s="155"/>
      <c r="H9" s="156"/>
      <c r="I9" s="156"/>
      <c r="K9" s="157" t="s">
        <v>48</v>
      </c>
      <c r="L9" s="176"/>
      <c r="M9" s="176"/>
      <c r="N9" s="176"/>
      <c r="O9" s="176"/>
      <c r="P9" s="176"/>
      <c r="Q9" s="177"/>
      <c r="R9" s="177"/>
    </row>
    <row r="10" spans="1:18" x14ac:dyDescent="0.25">
      <c r="B10" s="158" t="s">
        <v>71</v>
      </c>
      <c r="C10" s="178">
        <v>370663</v>
      </c>
      <c r="D10" s="178">
        <v>494720</v>
      </c>
      <c r="E10" s="178">
        <v>510044</v>
      </c>
      <c r="F10" s="178">
        <v>517738</v>
      </c>
      <c r="G10" s="178">
        <v>513220</v>
      </c>
      <c r="H10" s="179">
        <f t="shared" ref="H10:H22" si="0">IFERROR(G10/F10-1,"-")</f>
        <v>-8.7264214718641986E-3</v>
      </c>
      <c r="I10" s="179">
        <f t="shared" ref="I10:I22" si="1">G10/G$10</f>
        <v>1</v>
      </c>
      <c r="K10" s="158" t="s">
        <v>71</v>
      </c>
      <c r="L10" s="178">
        <v>95019</v>
      </c>
      <c r="M10" s="178">
        <v>129320</v>
      </c>
      <c r="N10" s="178">
        <v>133580</v>
      </c>
      <c r="O10" s="178">
        <v>136620</v>
      </c>
      <c r="P10" s="178">
        <v>131894</v>
      </c>
      <c r="Q10" s="179">
        <f t="shared" ref="Q10:Q22" si="2">IFERROR(P10/O10-1,"-")</f>
        <v>-3.459229980969114E-2</v>
      </c>
      <c r="R10" s="179">
        <f t="shared" ref="R10:R22" si="3">P10/P$10</f>
        <v>1</v>
      </c>
    </row>
    <row r="11" spans="1:18" x14ac:dyDescent="0.25">
      <c r="B11" s="161" t="s">
        <v>100</v>
      </c>
      <c r="C11" s="162">
        <v>63685</v>
      </c>
      <c r="D11" s="162">
        <v>74177</v>
      </c>
      <c r="E11" s="162">
        <v>71872</v>
      </c>
      <c r="F11" s="162">
        <v>73314</v>
      </c>
      <c r="G11" s="162">
        <v>73009</v>
      </c>
      <c r="H11" s="163">
        <f t="shared" si="0"/>
        <v>-4.1601876858444742E-3</v>
      </c>
      <c r="I11" s="163">
        <f t="shared" si="1"/>
        <v>0.14225673200576749</v>
      </c>
      <c r="J11" s="81"/>
      <c r="K11" s="161" t="s">
        <v>100</v>
      </c>
      <c r="L11" s="162">
        <v>8040</v>
      </c>
      <c r="M11" s="162">
        <v>8569</v>
      </c>
      <c r="N11" s="162">
        <v>8464</v>
      </c>
      <c r="O11" s="162">
        <v>8382</v>
      </c>
      <c r="P11" s="162">
        <v>8427</v>
      </c>
      <c r="Q11" s="163">
        <f t="shared" si="2"/>
        <v>5.3686471009306569E-3</v>
      </c>
      <c r="R11" s="163">
        <f t="shared" si="3"/>
        <v>6.3892216476867783E-2</v>
      </c>
    </row>
    <row r="12" spans="1:18" x14ac:dyDescent="0.25">
      <c r="B12" s="165" t="s">
        <v>106</v>
      </c>
      <c r="C12" s="166">
        <v>28042</v>
      </c>
      <c r="D12" s="166">
        <v>26909</v>
      </c>
      <c r="E12" s="166">
        <v>27496</v>
      </c>
      <c r="F12" s="166">
        <v>27000</v>
      </c>
      <c r="G12" s="166">
        <v>29092</v>
      </c>
      <c r="H12" s="167">
        <f t="shared" si="0"/>
        <v>7.7481481481481485E-2</v>
      </c>
      <c r="I12" s="167">
        <f t="shared" si="1"/>
        <v>5.6685242196329061E-2</v>
      </c>
      <c r="J12" s="81"/>
      <c r="K12" s="165" t="s">
        <v>106</v>
      </c>
      <c r="L12" s="166">
        <v>2767</v>
      </c>
      <c r="M12" s="166">
        <v>2051</v>
      </c>
      <c r="N12" s="166">
        <v>3093</v>
      </c>
      <c r="O12" s="166">
        <v>3103</v>
      </c>
      <c r="P12" s="166">
        <v>3602</v>
      </c>
      <c r="Q12" s="167">
        <f t="shared" si="2"/>
        <v>0.160812117305833</v>
      </c>
      <c r="R12" s="167">
        <f t="shared" si="3"/>
        <v>2.730980939239086E-2</v>
      </c>
    </row>
    <row r="13" spans="1:18" x14ac:dyDescent="0.25">
      <c r="B13" s="165" t="s">
        <v>103</v>
      </c>
      <c r="C13" s="166">
        <v>35643</v>
      </c>
      <c r="D13" s="166">
        <v>47268</v>
      </c>
      <c r="E13" s="166">
        <v>44376</v>
      </c>
      <c r="F13" s="166">
        <v>46314</v>
      </c>
      <c r="G13" s="166">
        <v>43917</v>
      </c>
      <c r="H13" s="167">
        <f t="shared" si="0"/>
        <v>-5.1755408731701036E-2</v>
      </c>
      <c r="I13" s="167">
        <f t="shared" si="1"/>
        <v>8.5571489809438447E-2</v>
      </c>
      <c r="J13" s="81"/>
      <c r="K13" s="165" t="s">
        <v>103</v>
      </c>
      <c r="L13" s="166">
        <v>5273</v>
      </c>
      <c r="M13" s="166">
        <v>6518</v>
      </c>
      <c r="N13" s="166">
        <v>5371</v>
      </c>
      <c r="O13" s="166">
        <v>5279</v>
      </c>
      <c r="P13" s="166">
        <v>4825</v>
      </c>
      <c r="Q13" s="167">
        <f t="shared" si="2"/>
        <v>-8.6001136578897519E-2</v>
      </c>
      <c r="R13" s="167">
        <f>P13/P$10</f>
        <v>3.658240708447693E-2</v>
      </c>
    </row>
    <row r="14" spans="1:18" x14ac:dyDescent="0.25">
      <c r="B14" s="161" t="s">
        <v>110</v>
      </c>
      <c r="C14" s="162">
        <v>306978</v>
      </c>
      <c r="D14" s="162">
        <v>420543</v>
      </c>
      <c r="E14" s="162">
        <v>438172</v>
      </c>
      <c r="F14" s="162">
        <v>444424</v>
      </c>
      <c r="G14" s="162">
        <v>440211</v>
      </c>
      <c r="H14" s="163">
        <f t="shared" si="0"/>
        <v>-9.4796860655590454E-3</v>
      </c>
      <c r="I14" s="163">
        <f t="shared" si="1"/>
        <v>0.85774326799423251</v>
      </c>
      <c r="J14" s="81"/>
      <c r="K14" s="161" t="s">
        <v>110</v>
      </c>
      <c r="L14" s="162">
        <v>86979</v>
      </c>
      <c r="M14" s="162">
        <v>120751</v>
      </c>
      <c r="N14" s="162">
        <v>125116</v>
      </c>
      <c r="O14" s="162">
        <v>128238</v>
      </c>
      <c r="P14" s="162">
        <v>123467</v>
      </c>
      <c r="Q14" s="163">
        <f t="shared" si="2"/>
        <v>-3.7204260827523816E-2</v>
      </c>
      <c r="R14" s="163">
        <f t="shared" si="3"/>
        <v>0.93610778352313218</v>
      </c>
    </row>
    <row r="15" spans="1:18" x14ac:dyDescent="0.25">
      <c r="B15" s="165" t="s">
        <v>113</v>
      </c>
      <c r="C15" s="166">
        <v>98582</v>
      </c>
      <c r="D15" s="166">
        <v>176212</v>
      </c>
      <c r="E15" s="166">
        <v>183489</v>
      </c>
      <c r="F15" s="166">
        <v>188380</v>
      </c>
      <c r="G15" s="166">
        <v>179206</v>
      </c>
      <c r="H15" s="167">
        <f t="shared" si="0"/>
        <v>-4.869943730756976E-2</v>
      </c>
      <c r="I15" s="167">
        <f t="shared" si="1"/>
        <v>0.34917968902225166</v>
      </c>
      <c r="J15" s="81"/>
      <c r="K15" s="165" t="s">
        <v>113</v>
      </c>
      <c r="L15" s="166">
        <v>30640</v>
      </c>
      <c r="M15" s="166">
        <v>56865</v>
      </c>
      <c r="N15" s="166">
        <v>58084</v>
      </c>
      <c r="O15" s="166">
        <v>59353</v>
      </c>
      <c r="P15" s="166">
        <v>55486</v>
      </c>
      <c r="Q15" s="167">
        <f t="shared" si="2"/>
        <v>-6.5152561791316344E-2</v>
      </c>
      <c r="R15" s="167">
        <f t="shared" si="3"/>
        <v>0.42068630870244289</v>
      </c>
    </row>
    <row r="16" spans="1:18" x14ac:dyDescent="0.25">
      <c r="B16" s="165" t="s">
        <v>116</v>
      </c>
      <c r="C16" s="166">
        <v>44325</v>
      </c>
      <c r="D16" s="166">
        <v>49706</v>
      </c>
      <c r="E16" s="166">
        <v>53926</v>
      </c>
      <c r="F16" s="166">
        <v>53434</v>
      </c>
      <c r="G16" s="166">
        <v>53954</v>
      </c>
      <c r="H16" s="167">
        <f t="shared" si="0"/>
        <v>9.7316315454578639E-3</v>
      </c>
      <c r="I16" s="167">
        <f t="shared" si="1"/>
        <v>0.1051284049725264</v>
      </c>
      <c r="J16" s="81"/>
      <c r="K16" s="165" t="s">
        <v>116</v>
      </c>
      <c r="L16" s="166">
        <v>4886</v>
      </c>
      <c r="M16" s="166">
        <v>5775</v>
      </c>
      <c r="N16" s="166">
        <v>6051</v>
      </c>
      <c r="O16" s="166">
        <v>6345</v>
      </c>
      <c r="P16" s="166">
        <v>6862</v>
      </c>
      <c r="Q16" s="167">
        <f t="shared" si="2"/>
        <v>8.1481481481481488E-2</v>
      </c>
      <c r="R16" s="167">
        <f t="shared" si="3"/>
        <v>5.202662744324988E-2</v>
      </c>
    </row>
    <row r="17" spans="2:22" x14ac:dyDescent="0.25">
      <c r="B17" s="165" t="s">
        <v>119</v>
      </c>
      <c r="C17" s="166">
        <v>17014</v>
      </c>
      <c r="D17" s="166">
        <v>21044</v>
      </c>
      <c r="E17" s="166">
        <v>18453</v>
      </c>
      <c r="F17" s="166">
        <v>18497</v>
      </c>
      <c r="G17" s="166">
        <v>19149</v>
      </c>
      <c r="H17" s="167">
        <f t="shared" si="0"/>
        <v>3.5248959290695714E-2</v>
      </c>
      <c r="I17" s="167">
        <f t="shared" si="1"/>
        <v>3.7311484353688473E-2</v>
      </c>
      <c r="J17" s="81"/>
      <c r="K17" s="165" t="s">
        <v>119</v>
      </c>
      <c r="L17" s="166">
        <v>2691</v>
      </c>
      <c r="M17" s="166">
        <v>3147</v>
      </c>
      <c r="N17" s="166">
        <v>2579</v>
      </c>
      <c r="O17" s="166">
        <v>2748</v>
      </c>
      <c r="P17" s="166">
        <v>3318</v>
      </c>
      <c r="Q17" s="167">
        <f t="shared" si="2"/>
        <v>0.2074235807860263</v>
      </c>
      <c r="R17" s="167">
        <f t="shared" si="3"/>
        <v>2.5156565120475535E-2</v>
      </c>
    </row>
    <row r="18" spans="2:22" x14ac:dyDescent="0.25">
      <c r="B18" s="165" t="s">
        <v>126</v>
      </c>
      <c r="C18" s="166">
        <v>16793</v>
      </c>
      <c r="D18" s="166">
        <v>14051</v>
      </c>
      <c r="E18" s="166">
        <v>16422</v>
      </c>
      <c r="F18" s="166">
        <v>15950</v>
      </c>
      <c r="G18" s="166">
        <v>15108</v>
      </c>
      <c r="H18" s="167">
        <f t="shared" si="0"/>
        <v>-5.2789968652037667E-2</v>
      </c>
      <c r="I18" s="167">
        <f t="shared" si="1"/>
        <v>2.9437668056583922E-2</v>
      </c>
      <c r="J18" s="81"/>
      <c r="K18" s="165" t="s">
        <v>126</v>
      </c>
      <c r="L18" s="166">
        <v>5438</v>
      </c>
      <c r="M18" s="166">
        <v>4711</v>
      </c>
      <c r="N18" s="166">
        <v>5766</v>
      </c>
      <c r="O18" s="166">
        <v>5340</v>
      </c>
      <c r="P18" s="166">
        <v>4898</v>
      </c>
      <c r="Q18" s="167">
        <f t="shared" si="2"/>
        <v>-8.2771535580524302E-2</v>
      </c>
      <c r="R18" s="167">
        <f t="shared" si="3"/>
        <v>3.7135881844511505E-2</v>
      </c>
    </row>
    <row r="19" spans="2:22" x14ac:dyDescent="0.25">
      <c r="B19" s="165" t="s">
        <v>122</v>
      </c>
      <c r="C19" s="166">
        <v>18106</v>
      </c>
      <c r="D19" s="166">
        <v>16505</v>
      </c>
      <c r="E19" s="166">
        <v>17446</v>
      </c>
      <c r="F19" s="166">
        <v>17683</v>
      </c>
      <c r="G19" s="166">
        <v>17909</v>
      </c>
      <c r="H19" s="167">
        <f t="shared" si="0"/>
        <v>1.2780636769778919E-2</v>
      </c>
      <c r="I19" s="167">
        <f t="shared" si="1"/>
        <v>3.4895366509489108E-2</v>
      </c>
      <c r="J19" s="81"/>
      <c r="K19" s="165" t="s">
        <v>122</v>
      </c>
      <c r="L19" s="166">
        <v>4793</v>
      </c>
      <c r="M19" s="166">
        <v>5091</v>
      </c>
      <c r="N19" s="166">
        <v>5487</v>
      </c>
      <c r="O19" s="166">
        <v>5338</v>
      </c>
      <c r="P19" s="166">
        <v>4709</v>
      </c>
      <c r="Q19" s="167">
        <f t="shared" si="2"/>
        <v>-0.11783439490445857</v>
      </c>
      <c r="R19" s="167">
        <f t="shared" si="3"/>
        <v>3.5702912945243907E-2</v>
      </c>
    </row>
    <row r="20" spans="2:22" x14ac:dyDescent="0.25">
      <c r="B20" s="165" t="s">
        <v>131</v>
      </c>
      <c r="C20" s="166">
        <v>8711</v>
      </c>
      <c r="D20" s="166">
        <v>10052</v>
      </c>
      <c r="E20" s="166">
        <v>9909</v>
      </c>
      <c r="F20" s="166">
        <v>9178</v>
      </c>
      <c r="G20" s="166">
        <v>8931</v>
      </c>
      <c r="H20" s="167">
        <f t="shared" si="0"/>
        <v>-2.6912181303116123E-2</v>
      </c>
      <c r="I20" s="167">
        <f t="shared" si="1"/>
        <v>1.7401893924632712E-2</v>
      </c>
      <c r="J20" s="81"/>
      <c r="K20" s="165" t="s">
        <v>131</v>
      </c>
      <c r="L20" s="166">
        <v>3427</v>
      </c>
      <c r="M20" s="166">
        <v>3447</v>
      </c>
      <c r="N20" s="166">
        <v>3646</v>
      </c>
      <c r="O20" s="166">
        <v>3640</v>
      </c>
      <c r="P20" s="166">
        <v>3175</v>
      </c>
      <c r="Q20" s="167">
        <f t="shared" si="2"/>
        <v>-0.12774725274725274</v>
      </c>
      <c r="R20" s="167">
        <f t="shared" si="3"/>
        <v>2.4072361138490001E-2</v>
      </c>
    </row>
    <row r="21" spans="2:22" x14ac:dyDescent="0.25">
      <c r="B21" s="165" t="s">
        <v>134</v>
      </c>
      <c r="C21" s="166">
        <v>9345</v>
      </c>
      <c r="D21" s="166">
        <v>13825</v>
      </c>
      <c r="E21" s="166">
        <v>15442</v>
      </c>
      <c r="F21" s="166">
        <v>13034</v>
      </c>
      <c r="G21" s="166">
        <v>12253</v>
      </c>
      <c r="H21" s="167">
        <f t="shared" si="0"/>
        <v>-5.9920208684977716E-2</v>
      </c>
      <c r="I21" s="167">
        <f t="shared" si="1"/>
        <v>2.3874751568528117E-2</v>
      </c>
      <c r="J21" s="81"/>
      <c r="K21" s="165" t="s">
        <v>134</v>
      </c>
      <c r="L21" s="166">
        <v>4433</v>
      </c>
      <c r="M21" s="166">
        <v>5080</v>
      </c>
      <c r="N21" s="166">
        <v>5831</v>
      </c>
      <c r="O21" s="166">
        <v>4809</v>
      </c>
      <c r="P21" s="166">
        <v>4146</v>
      </c>
      <c r="Q21" s="167">
        <f t="shared" si="2"/>
        <v>-0.13786650031191516</v>
      </c>
      <c r="R21" s="167">
        <f t="shared" si="3"/>
        <v>3.1434333631552611E-2</v>
      </c>
    </row>
    <row r="22" spans="2:22" x14ac:dyDescent="0.25">
      <c r="B22" s="170" t="s">
        <v>148</v>
      </c>
      <c r="C22" s="171">
        <f>C14-SUM(C15:C21)</f>
        <v>94102</v>
      </c>
      <c r="D22" s="171">
        <f>D14-SUM(D15:D21)</f>
        <v>119148</v>
      </c>
      <c r="E22" s="171">
        <f>E14-SUM(E15:E21)</f>
        <v>123085</v>
      </c>
      <c r="F22" s="171">
        <f>F14-SUM(F15:F21)</f>
        <v>128268</v>
      </c>
      <c r="G22" s="171">
        <f>G14-SUM(G15:G21)</f>
        <v>133701</v>
      </c>
      <c r="H22" s="172">
        <f t="shared" si="0"/>
        <v>4.2356628309476951E-2</v>
      </c>
      <c r="I22" s="172">
        <f t="shared" si="1"/>
        <v>0.26051400958653209</v>
      </c>
      <c r="J22" s="81"/>
      <c r="K22" s="170" t="s">
        <v>148</v>
      </c>
      <c r="L22" s="171">
        <f>L14-SUM(L15:L21)</f>
        <v>30671</v>
      </c>
      <c r="M22" s="171">
        <f>M14-SUM(M15:M21)</f>
        <v>36635</v>
      </c>
      <c r="N22" s="171">
        <f>N14-SUM(N15:N21)</f>
        <v>37672</v>
      </c>
      <c r="O22" s="171">
        <f>O14-SUM(O15:O21)</f>
        <v>40665</v>
      </c>
      <c r="P22" s="171">
        <f>P14-SUM(P15:P21)</f>
        <v>40873</v>
      </c>
      <c r="Q22" s="172">
        <f t="shared" si="2"/>
        <v>5.1149637280216709E-3</v>
      </c>
      <c r="R22" s="172">
        <f t="shared" si="3"/>
        <v>0.30989279269716591</v>
      </c>
    </row>
    <row r="23" spans="2:22" x14ac:dyDescent="0.25">
      <c r="B23" s="157" t="s">
        <v>47</v>
      </c>
      <c r="C23" s="176"/>
      <c r="D23" s="176"/>
      <c r="E23" s="176"/>
      <c r="F23" s="176"/>
      <c r="G23" s="176"/>
      <c r="H23" s="177"/>
      <c r="I23" s="177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2:22" x14ac:dyDescent="0.25">
      <c r="B24" s="158" t="s">
        <v>71</v>
      </c>
      <c r="C24" s="178">
        <v>138324</v>
      </c>
      <c r="D24" s="178">
        <v>183582</v>
      </c>
      <c r="E24" s="178">
        <v>191226</v>
      </c>
      <c r="F24" s="178">
        <v>188893</v>
      </c>
      <c r="G24" s="178">
        <v>184725</v>
      </c>
      <c r="H24" s="179">
        <f t="shared" ref="H24:H36" si="4">IFERROR(G24/F24-1,"-")</f>
        <v>-2.2065402105954202E-2</v>
      </c>
      <c r="I24" s="179">
        <f t="shared" ref="I24:I36" si="5">G24/G$10</f>
        <v>0.35993336191107128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2:22" x14ac:dyDescent="0.25">
      <c r="B25" s="161" t="s">
        <v>12</v>
      </c>
      <c r="C25" s="162">
        <v>14724</v>
      </c>
      <c r="D25" s="162">
        <v>13898</v>
      </c>
      <c r="E25" s="162">
        <v>12676</v>
      </c>
      <c r="F25" s="162">
        <v>11833</v>
      </c>
      <c r="G25" s="162">
        <v>10691</v>
      </c>
      <c r="H25" s="163">
        <f t="shared" si="4"/>
        <v>-9.6509760838333514E-2</v>
      </c>
      <c r="I25" s="163">
        <f t="shared" si="5"/>
        <v>2.0831222477689881E-2</v>
      </c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2:22" x14ac:dyDescent="0.25">
      <c r="B26" s="165" t="s">
        <v>106</v>
      </c>
      <c r="C26" s="166">
        <v>5642</v>
      </c>
      <c r="D26" s="166">
        <v>4802</v>
      </c>
      <c r="E26" s="166">
        <v>4381</v>
      </c>
      <c r="F26" s="166">
        <v>3470</v>
      </c>
      <c r="G26" s="166">
        <v>3528</v>
      </c>
      <c r="H26" s="167">
        <f t="shared" si="4"/>
        <v>1.6714697406340129E-2</v>
      </c>
      <c r="I26" s="167">
        <f t="shared" si="5"/>
        <v>6.8742449631736873E-3</v>
      </c>
    </row>
    <row r="27" spans="2:22" x14ac:dyDescent="0.25">
      <c r="B27" s="165" t="s">
        <v>103</v>
      </c>
      <c r="C27" s="166">
        <v>9082</v>
      </c>
      <c r="D27" s="166">
        <v>9096</v>
      </c>
      <c r="E27" s="166">
        <v>8295</v>
      </c>
      <c r="F27" s="166">
        <v>8363</v>
      </c>
      <c r="G27" s="166">
        <v>7163</v>
      </c>
      <c r="H27" s="167">
        <f t="shared" si="4"/>
        <v>-0.14348917852445298</v>
      </c>
      <c r="I27" s="167">
        <f t="shared" si="5"/>
        <v>1.3956977514516192E-2</v>
      </c>
    </row>
    <row r="28" spans="2:22" x14ac:dyDescent="0.25">
      <c r="B28" s="161" t="s">
        <v>110</v>
      </c>
      <c r="C28" s="162">
        <v>123600</v>
      </c>
      <c r="D28" s="162">
        <v>169684</v>
      </c>
      <c r="E28" s="162">
        <v>178550</v>
      </c>
      <c r="F28" s="162">
        <v>177060</v>
      </c>
      <c r="G28" s="162">
        <v>174034</v>
      </c>
      <c r="H28" s="163">
        <f t="shared" si="4"/>
        <v>-1.7090251892013963E-2</v>
      </c>
      <c r="I28" s="163">
        <f t="shared" si="5"/>
        <v>0.33910213943338141</v>
      </c>
    </row>
    <row r="29" spans="2:22" x14ac:dyDescent="0.25">
      <c r="B29" s="165" t="s">
        <v>113</v>
      </c>
      <c r="C29" s="166">
        <v>46456</v>
      </c>
      <c r="D29" s="166">
        <v>81345</v>
      </c>
      <c r="E29" s="166">
        <v>84217</v>
      </c>
      <c r="F29" s="166">
        <v>87505</v>
      </c>
      <c r="G29" s="166">
        <v>83611</v>
      </c>
      <c r="H29" s="167">
        <f t="shared" si="4"/>
        <v>-4.4500314267756136E-2</v>
      </c>
      <c r="I29" s="167">
        <f t="shared" si="5"/>
        <v>0.16291453957367211</v>
      </c>
    </row>
    <row r="30" spans="2:22" x14ac:dyDescent="0.25">
      <c r="B30" s="165" t="s">
        <v>116</v>
      </c>
      <c r="C30" s="166">
        <v>17963</v>
      </c>
      <c r="D30" s="166">
        <v>19026</v>
      </c>
      <c r="E30" s="166">
        <v>20673</v>
      </c>
      <c r="F30" s="166">
        <v>19549</v>
      </c>
      <c r="G30" s="166">
        <v>19046</v>
      </c>
      <c r="H30" s="167">
        <f t="shared" si="4"/>
        <v>-2.5730216379354465E-2</v>
      </c>
      <c r="I30" s="167">
        <f t="shared" si="5"/>
        <v>3.7110790694049337E-2</v>
      </c>
    </row>
    <row r="31" spans="2:22" x14ac:dyDescent="0.25">
      <c r="B31" s="165" t="s">
        <v>119</v>
      </c>
      <c r="C31" s="166">
        <v>6058</v>
      </c>
      <c r="D31" s="166">
        <v>6680</v>
      </c>
      <c r="E31" s="166">
        <v>5621</v>
      </c>
      <c r="F31" s="166">
        <v>4990</v>
      </c>
      <c r="G31" s="166">
        <v>4852</v>
      </c>
      <c r="H31" s="167">
        <f t="shared" si="4"/>
        <v>-2.765531062124249E-2</v>
      </c>
      <c r="I31" s="167">
        <f t="shared" si="5"/>
        <v>9.4540353064962394E-3</v>
      </c>
    </row>
    <row r="32" spans="2:22" x14ac:dyDescent="0.25">
      <c r="B32" s="165" t="s">
        <v>126</v>
      </c>
      <c r="C32" s="166">
        <v>6762</v>
      </c>
      <c r="D32" s="166">
        <v>5674</v>
      </c>
      <c r="E32" s="166">
        <v>6281</v>
      </c>
      <c r="F32" s="166">
        <v>6190</v>
      </c>
      <c r="G32" s="166">
        <v>6269</v>
      </c>
      <c r="H32" s="167">
        <f t="shared" si="4"/>
        <v>1.2762520193861038E-2</v>
      </c>
      <c r="I32" s="167">
        <f t="shared" si="5"/>
        <v>1.2215034488133743E-2</v>
      </c>
    </row>
    <row r="33" spans="2:9" x14ac:dyDescent="0.25">
      <c r="B33" s="165" t="s">
        <v>122</v>
      </c>
      <c r="C33" s="166">
        <v>10255</v>
      </c>
      <c r="D33" s="166">
        <v>8814</v>
      </c>
      <c r="E33" s="166">
        <v>9304</v>
      </c>
      <c r="F33" s="166">
        <v>9184</v>
      </c>
      <c r="G33" s="166">
        <v>9856</v>
      </c>
      <c r="H33" s="167">
        <f t="shared" si="4"/>
        <v>7.3170731707317138E-2</v>
      </c>
      <c r="I33" s="167">
        <f t="shared" si="5"/>
        <v>1.9204239897120143E-2</v>
      </c>
    </row>
    <row r="34" spans="2:9" x14ac:dyDescent="0.25">
      <c r="B34" s="165" t="s">
        <v>131</v>
      </c>
      <c r="C34" s="166">
        <v>2682</v>
      </c>
      <c r="D34" s="166">
        <v>3144</v>
      </c>
      <c r="E34" s="166">
        <v>3168</v>
      </c>
      <c r="F34" s="166">
        <v>2938</v>
      </c>
      <c r="G34" s="166">
        <v>3360</v>
      </c>
      <c r="H34" s="167">
        <f t="shared" si="4"/>
        <v>0.14363512593601091</v>
      </c>
      <c r="I34" s="167">
        <f t="shared" si="5"/>
        <v>6.5468999649273213E-3</v>
      </c>
    </row>
    <row r="35" spans="2:9" x14ac:dyDescent="0.25">
      <c r="B35" s="165" t="s">
        <v>134</v>
      </c>
      <c r="C35" s="166">
        <v>2364</v>
      </c>
      <c r="D35" s="166">
        <v>4911</v>
      </c>
      <c r="E35" s="166">
        <v>5778</v>
      </c>
      <c r="F35" s="166">
        <v>4099</v>
      </c>
      <c r="G35" s="166">
        <v>4509</v>
      </c>
      <c r="H35" s="167">
        <f t="shared" si="4"/>
        <v>0.10002439619419379</v>
      </c>
      <c r="I35" s="167">
        <f t="shared" si="5"/>
        <v>8.7857059350765748E-3</v>
      </c>
    </row>
    <row r="36" spans="2:9" x14ac:dyDescent="0.25">
      <c r="B36" s="170" t="s">
        <v>148</v>
      </c>
      <c r="C36" s="171">
        <f>C28-SUM(C29:C35)</f>
        <v>31060</v>
      </c>
      <c r="D36" s="171">
        <f>D28-SUM(D29:D35)</f>
        <v>40090</v>
      </c>
      <c r="E36" s="171">
        <f>E28-SUM(E29:E35)</f>
        <v>43508</v>
      </c>
      <c r="F36" s="171">
        <f>F28-SUM(F29:F35)</f>
        <v>42605</v>
      </c>
      <c r="G36" s="171">
        <f>G28-SUM(G29:G35)</f>
        <v>42531</v>
      </c>
      <c r="H36" s="172">
        <f t="shared" si="4"/>
        <v>-1.7368853420960395E-3</v>
      </c>
      <c r="I36" s="172">
        <f t="shared" si="5"/>
        <v>8.2870893573905924E-2</v>
      </c>
    </row>
    <row r="37" spans="2:9" x14ac:dyDescent="0.25">
      <c r="B37" s="157" t="s">
        <v>48</v>
      </c>
      <c r="C37" s="176"/>
      <c r="D37" s="176"/>
      <c r="E37" s="176"/>
      <c r="F37" s="176"/>
      <c r="G37" s="176"/>
      <c r="H37" s="177"/>
      <c r="I37" s="177"/>
    </row>
    <row r="38" spans="2:9" x14ac:dyDescent="0.25">
      <c r="B38" s="158" t="s">
        <v>71</v>
      </c>
      <c r="C38" s="178">
        <v>95019</v>
      </c>
      <c r="D38" s="178">
        <v>129320</v>
      </c>
      <c r="E38" s="178">
        <v>133580</v>
      </c>
      <c r="F38" s="178">
        <v>136620</v>
      </c>
      <c r="G38" s="178">
        <v>131894</v>
      </c>
      <c r="H38" s="179">
        <f t="shared" ref="H38:H50" si="6">IFERROR(G38/F38-1,"-")</f>
        <v>-3.459229980969114E-2</v>
      </c>
      <c r="I38" s="179">
        <f t="shared" ref="I38:I50" si="7">G38/G$10</f>
        <v>0.25699310237325124</v>
      </c>
    </row>
    <row r="39" spans="2:9" x14ac:dyDescent="0.25">
      <c r="B39" s="161" t="s">
        <v>100</v>
      </c>
      <c r="C39" s="162">
        <v>8040</v>
      </c>
      <c r="D39" s="162">
        <v>8569</v>
      </c>
      <c r="E39" s="162">
        <v>8464</v>
      </c>
      <c r="F39" s="162">
        <v>8382</v>
      </c>
      <c r="G39" s="162">
        <v>8427</v>
      </c>
      <c r="H39" s="163">
        <f t="shared" si="6"/>
        <v>5.3686471009306569E-3</v>
      </c>
      <c r="I39" s="163">
        <f t="shared" si="7"/>
        <v>1.6419858929893612E-2</v>
      </c>
    </row>
    <row r="40" spans="2:9" x14ac:dyDescent="0.25">
      <c r="B40" s="165" t="s">
        <v>106</v>
      </c>
      <c r="C40" s="166">
        <v>2767</v>
      </c>
      <c r="D40" s="166">
        <v>2051</v>
      </c>
      <c r="E40" s="166">
        <v>3093</v>
      </c>
      <c r="F40" s="166">
        <v>3103</v>
      </c>
      <c r="G40" s="166">
        <v>3602</v>
      </c>
      <c r="H40" s="167">
        <f t="shared" si="6"/>
        <v>0.160812117305833</v>
      </c>
      <c r="I40" s="167">
        <f t="shared" si="7"/>
        <v>7.0184326409726827E-3</v>
      </c>
    </row>
    <row r="41" spans="2:9" x14ac:dyDescent="0.25">
      <c r="B41" s="165" t="s">
        <v>103</v>
      </c>
      <c r="C41" s="166">
        <v>5273</v>
      </c>
      <c r="D41" s="166">
        <v>6518</v>
      </c>
      <c r="E41" s="166">
        <v>5371</v>
      </c>
      <c r="F41" s="166">
        <v>5279</v>
      </c>
      <c r="G41" s="166">
        <v>4825</v>
      </c>
      <c r="H41" s="167">
        <f t="shared" si="6"/>
        <v>-8.6001136578897519E-2</v>
      </c>
      <c r="I41" s="167">
        <f t="shared" si="7"/>
        <v>9.4014262889209298E-3</v>
      </c>
    </row>
    <row r="42" spans="2:9" x14ac:dyDescent="0.25">
      <c r="B42" s="161" t="s">
        <v>110</v>
      </c>
      <c r="C42" s="162">
        <v>86979</v>
      </c>
      <c r="D42" s="162">
        <v>120751</v>
      </c>
      <c r="E42" s="162">
        <v>125116</v>
      </c>
      <c r="F42" s="162">
        <v>128238</v>
      </c>
      <c r="G42" s="162">
        <v>123467</v>
      </c>
      <c r="H42" s="163">
        <f t="shared" si="6"/>
        <v>-3.7204260827523816E-2</v>
      </c>
      <c r="I42" s="163">
        <f t="shared" si="7"/>
        <v>0.24057324344335762</v>
      </c>
    </row>
    <row r="43" spans="2:9" x14ac:dyDescent="0.25">
      <c r="B43" s="165" t="s">
        <v>113</v>
      </c>
      <c r="C43" s="166">
        <v>30640</v>
      </c>
      <c r="D43" s="166">
        <v>56865</v>
      </c>
      <c r="E43" s="166">
        <v>58084</v>
      </c>
      <c r="F43" s="166">
        <v>59353</v>
      </c>
      <c r="G43" s="166">
        <v>55486</v>
      </c>
      <c r="H43" s="167">
        <f t="shared" si="6"/>
        <v>-6.5152561791316344E-2</v>
      </c>
      <c r="I43" s="167">
        <f t="shared" si="7"/>
        <v>0.10811347959939208</v>
      </c>
    </row>
    <row r="44" spans="2:9" x14ac:dyDescent="0.25">
      <c r="B44" s="165" t="s">
        <v>116</v>
      </c>
      <c r="C44" s="166">
        <v>4886</v>
      </c>
      <c r="D44" s="166">
        <v>5775</v>
      </c>
      <c r="E44" s="166">
        <v>6051</v>
      </c>
      <c r="F44" s="166">
        <v>6345</v>
      </c>
      <c r="G44" s="166">
        <v>6862</v>
      </c>
      <c r="H44" s="167">
        <f t="shared" si="6"/>
        <v>8.1481481481481488E-2</v>
      </c>
      <c r="I44" s="167">
        <f t="shared" si="7"/>
        <v>1.337048439265812E-2</v>
      </c>
    </row>
    <row r="45" spans="2:9" x14ac:dyDescent="0.25">
      <c r="B45" s="165" t="s">
        <v>119</v>
      </c>
      <c r="C45" s="166">
        <v>2691</v>
      </c>
      <c r="D45" s="166">
        <v>3147</v>
      </c>
      <c r="E45" s="166">
        <v>2579</v>
      </c>
      <c r="F45" s="166">
        <v>2748</v>
      </c>
      <c r="G45" s="166">
        <v>3318</v>
      </c>
      <c r="H45" s="167">
        <f t="shared" si="6"/>
        <v>0.2074235807860263</v>
      </c>
      <c r="I45" s="167">
        <f t="shared" si="7"/>
        <v>6.4650637153657303E-3</v>
      </c>
    </row>
    <row r="46" spans="2:9" x14ac:dyDescent="0.25">
      <c r="B46" s="165" t="s">
        <v>126</v>
      </c>
      <c r="C46" s="166">
        <v>5438</v>
      </c>
      <c r="D46" s="166">
        <v>4711</v>
      </c>
      <c r="E46" s="166">
        <v>5766</v>
      </c>
      <c r="F46" s="166">
        <v>5340</v>
      </c>
      <c r="G46" s="166">
        <v>4898</v>
      </c>
      <c r="H46" s="167">
        <f t="shared" si="6"/>
        <v>-8.2771535580524302E-2</v>
      </c>
      <c r="I46" s="167">
        <f t="shared" si="7"/>
        <v>9.5436654845875071E-3</v>
      </c>
    </row>
    <row r="47" spans="2:9" x14ac:dyDescent="0.25">
      <c r="B47" s="165" t="s">
        <v>122</v>
      </c>
      <c r="C47" s="166">
        <v>4793</v>
      </c>
      <c r="D47" s="166">
        <v>5091</v>
      </c>
      <c r="E47" s="166">
        <v>5487</v>
      </c>
      <c r="F47" s="166">
        <v>5338</v>
      </c>
      <c r="G47" s="166">
        <v>4709</v>
      </c>
      <c r="H47" s="167">
        <f t="shared" si="6"/>
        <v>-0.11783439490445857</v>
      </c>
      <c r="I47" s="167">
        <f t="shared" si="7"/>
        <v>9.1754023615603451E-3</v>
      </c>
    </row>
    <row r="48" spans="2:9" x14ac:dyDescent="0.25">
      <c r="B48" s="165" t="s">
        <v>131</v>
      </c>
      <c r="C48" s="166">
        <v>3427</v>
      </c>
      <c r="D48" s="166">
        <v>3447</v>
      </c>
      <c r="E48" s="166">
        <v>3646</v>
      </c>
      <c r="F48" s="166">
        <v>3640</v>
      </c>
      <c r="G48" s="166">
        <v>3175</v>
      </c>
      <c r="H48" s="167">
        <f t="shared" si="6"/>
        <v>-0.12774725274725274</v>
      </c>
      <c r="I48" s="167">
        <f t="shared" si="7"/>
        <v>6.1864307704298351E-3</v>
      </c>
    </row>
    <row r="49" spans="2:9" x14ac:dyDescent="0.25">
      <c r="B49" s="165" t="s">
        <v>134</v>
      </c>
      <c r="C49" s="166">
        <v>4433</v>
      </c>
      <c r="D49" s="166">
        <v>5080</v>
      </c>
      <c r="E49" s="166">
        <v>5831</v>
      </c>
      <c r="F49" s="166">
        <v>4809</v>
      </c>
      <c r="G49" s="166">
        <v>4146</v>
      </c>
      <c r="H49" s="167">
        <f t="shared" si="6"/>
        <v>-0.13786650031191516</v>
      </c>
      <c r="I49" s="167">
        <f t="shared" si="7"/>
        <v>8.0784069210085348E-3</v>
      </c>
    </row>
    <row r="50" spans="2:9" x14ac:dyDescent="0.25">
      <c r="B50" s="170" t="s">
        <v>148</v>
      </c>
      <c r="C50" s="171">
        <f>C42-SUM(C43:C49)</f>
        <v>30671</v>
      </c>
      <c r="D50" s="171">
        <f>D42-SUM(D43:D49)</f>
        <v>36635</v>
      </c>
      <c r="E50" s="171">
        <f>E42-SUM(E43:E49)</f>
        <v>37672</v>
      </c>
      <c r="F50" s="171">
        <f>F42-SUM(F43:F49)</f>
        <v>40665</v>
      </c>
      <c r="G50" s="171">
        <f>G42-SUM(G43:G49)</f>
        <v>40873</v>
      </c>
      <c r="H50" s="172">
        <f t="shared" si="6"/>
        <v>5.1149637280216709E-3</v>
      </c>
      <c r="I50" s="172">
        <f t="shared" si="7"/>
        <v>7.9640310198355477E-2</v>
      </c>
    </row>
    <row r="51" spans="2:9" x14ac:dyDescent="0.25">
      <c r="B51" s="157" t="s">
        <v>49</v>
      </c>
      <c r="C51" s="176"/>
      <c r="D51" s="176"/>
      <c r="E51" s="176"/>
      <c r="F51" s="176"/>
      <c r="G51" s="176"/>
      <c r="H51" s="177"/>
      <c r="I51" s="177"/>
    </row>
    <row r="52" spans="2:9" x14ac:dyDescent="0.25">
      <c r="B52" s="158" t="s">
        <v>71</v>
      </c>
      <c r="C52" s="178">
        <v>2907</v>
      </c>
      <c r="D52" s="178">
        <v>5119</v>
      </c>
      <c r="E52" s="178">
        <v>5933</v>
      </c>
      <c r="F52" s="178">
        <v>4890</v>
      </c>
      <c r="G52" s="178">
        <v>3918</v>
      </c>
      <c r="H52" s="179">
        <f t="shared" ref="H52:H64" si="8">IFERROR(G52/F52-1,"-")</f>
        <v>-0.19877300613496929</v>
      </c>
      <c r="I52" s="179">
        <f t="shared" ref="I52:I64" si="9">G52/G$10</f>
        <v>7.6341529948170377E-3</v>
      </c>
    </row>
    <row r="53" spans="2:9" x14ac:dyDescent="0.25">
      <c r="B53" s="161" t="s">
        <v>100</v>
      </c>
      <c r="C53" s="162">
        <v>224</v>
      </c>
      <c r="D53" s="162">
        <v>1277</v>
      </c>
      <c r="E53" s="162">
        <v>2069</v>
      </c>
      <c r="F53" s="162">
        <v>1022</v>
      </c>
      <c r="G53" s="162">
        <v>673</v>
      </c>
      <c r="H53" s="163">
        <f t="shared" si="8"/>
        <v>-0.34148727984344418</v>
      </c>
      <c r="I53" s="163">
        <f t="shared" si="9"/>
        <v>1.3113284751178832E-3</v>
      </c>
    </row>
    <row r="54" spans="2:9" x14ac:dyDescent="0.25">
      <c r="B54" s="165" t="s">
        <v>106</v>
      </c>
      <c r="C54" s="166">
        <v>67</v>
      </c>
      <c r="D54" s="166">
        <v>779</v>
      </c>
      <c r="E54" s="166">
        <v>1543</v>
      </c>
      <c r="F54" s="166">
        <v>559</v>
      </c>
      <c r="G54" s="166">
        <v>415</v>
      </c>
      <c r="H54" s="167">
        <f t="shared" si="8"/>
        <v>-0.25760286225402507</v>
      </c>
      <c r="I54" s="167">
        <f t="shared" si="9"/>
        <v>8.0862008495382102E-4</v>
      </c>
    </row>
    <row r="55" spans="2:9" x14ac:dyDescent="0.25">
      <c r="B55" s="165" t="s">
        <v>103</v>
      </c>
      <c r="C55" s="166">
        <v>157</v>
      </c>
      <c r="D55" s="166">
        <v>498</v>
      </c>
      <c r="E55" s="166">
        <v>526</v>
      </c>
      <c r="F55" s="166">
        <v>463</v>
      </c>
      <c r="G55" s="166">
        <v>258</v>
      </c>
      <c r="H55" s="167">
        <f t="shared" si="8"/>
        <v>-0.44276457883369336</v>
      </c>
      <c r="I55" s="167">
        <f t="shared" si="9"/>
        <v>5.0270839016406223E-4</v>
      </c>
    </row>
    <row r="56" spans="2:9" x14ac:dyDescent="0.25">
      <c r="B56" s="161" t="s">
        <v>110</v>
      </c>
      <c r="C56" s="162">
        <v>2683</v>
      </c>
      <c r="D56" s="162">
        <v>3842</v>
      </c>
      <c r="E56" s="162">
        <v>3864</v>
      </c>
      <c r="F56" s="162">
        <v>3868</v>
      </c>
      <c r="G56" s="162">
        <v>3245</v>
      </c>
      <c r="H56" s="163">
        <f t="shared" si="8"/>
        <v>-0.16106514994829368</v>
      </c>
      <c r="I56" s="163">
        <f t="shared" si="9"/>
        <v>6.3228245196991547E-3</v>
      </c>
    </row>
    <row r="57" spans="2:9" x14ac:dyDescent="0.25">
      <c r="B57" s="165" t="s">
        <v>113</v>
      </c>
      <c r="C57" s="166">
        <v>607</v>
      </c>
      <c r="D57" s="166">
        <v>1055</v>
      </c>
      <c r="E57" s="166">
        <v>993</v>
      </c>
      <c r="F57" s="166">
        <v>1063</v>
      </c>
      <c r="G57" s="166">
        <v>957</v>
      </c>
      <c r="H57" s="167">
        <f t="shared" si="8"/>
        <v>-9.9717779868297218E-2</v>
      </c>
      <c r="I57" s="167">
        <f t="shared" si="9"/>
        <v>1.8646974007248353E-3</v>
      </c>
    </row>
    <row r="58" spans="2:9" x14ac:dyDescent="0.25">
      <c r="B58" s="165" t="s">
        <v>116</v>
      </c>
      <c r="C58" s="166">
        <v>1096</v>
      </c>
      <c r="D58" s="166">
        <v>910</v>
      </c>
      <c r="E58" s="166">
        <v>1013</v>
      </c>
      <c r="F58" s="166">
        <v>884</v>
      </c>
      <c r="G58" s="166">
        <v>832</v>
      </c>
      <c r="H58" s="167">
        <f t="shared" si="8"/>
        <v>-5.8823529411764719E-2</v>
      </c>
      <c r="I58" s="167">
        <f t="shared" si="9"/>
        <v>1.6211371341724797E-3</v>
      </c>
    </row>
    <row r="59" spans="2:9" x14ac:dyDescent="0.25">
      <c r="B59" s="165" t="s">
        <v>119</v>
      </c>
      <c r="C59" s="166">
        <v>110</v>
      </c>
      <c r="D59" s="166">
        <v>374</v>
      </c>
      <c r="E59" s="166">
        <v>313</v>
      </c>
      <c r="F59" s="166">
        <v>170</v>
      </c>
      <c r="G59" s="166">
        <v>221</v>
      </c>
      <c r="H59" s="167">
        <f t="shared" si="8"/>
        <v>0.30000000000000004</v>
      </c>
      <c r="I59" s="167">
        <f t="shared" si="9"/>
        <v>4.3061455126456493E-4</v>
      </c>
    </row>
    <row r="60" spans="2:9" x14ac:dyDescent="0.25">
      <c r="B60" s="165" t="s">
        <v>126</v>
      </c>
      <c r="C60" s="166">
        <v>73</v>
      </c>
      <c r="D60" s="166">
        <v>69</v>
      </c>
      <c r="E60" s="166">
        <v>95</v>
      </c>
      <c r="F60" s="166">
        <v>123</v>
      </c>
      <c r="G60" s="166">
        <v>132</v>
      </c>
      <c r="H60" s="167">
        <f t="shared" si="8"/>
        <v>7.3170731707317138E-2</v>
      </c>
      <c r="I60" s="167">
        <f t="shared" si="9"/>
        <v>2.5719964147928766E-4</v>
      </c>
    </row>
    <row r="61" spans="2:9" x14ac:dyDescent="0.25">
      <c r="B61" s="165" t="s">
        <v>122</v>
      </c>
      <c r="C61" s="166">
        <v>62</v>
      </c>
      <c r="D61" s="166">
        <v>75</v>
      </c>
      <c r="E61" s="166">
        <v>92</v>
      </c>
      <c r="F61" s="166">
        <v>127</v>
      </c>
      <c r="G61" s="166">
        <v>131</v>
      </c>
      <c r="H61" s="167">
        <f t="shared" si="8"/>
        <v>3.1496062992125928E-2</v>
      </c>
      <c r="I61" s="167">
        <f t="shared" si="9"/>
        <v>2.5525115934686878E-4</v>
      </c>
    </row>
    <row r="62" spans="2:9" x14ac:dyDescent="0.25">
      <c r="B62" s="165" t="s">
        <v>131</v>
      </c>
      <c r="C62" s="166">
        <v>23</v>
      </c>
      <c r="D62" s="166">
        <v>47</v>
      </c>
      <c r="E62" s="166">
        <v>46</v>
      </c>
      <c r="F62" s="166">
        <v>36</v>
      </c>
      <c r="G62" s="166">
        <v>18</v>
      </c>
      <c r="H62" s="167">
        <f t="shared" si="8"/>
        <v>-0.5</v>
      </c>
      <c r="I62" s="167">
        <f t="shared" si="9"/>
        <v>3.5072678383539223E-5</v>
      </c>
    </row>
    <row r="63" spans="2:9" x14ac:dyDescent="0.25">
      <c r="B63" s="165" t="s">
        <v>134</v>
      </c>
      <c r="C63" s="166">
        <v>28</v>
      </c>
      <c r="D63" s="166">
        <v>43</v>
      </c>
      <c r="E63" s="166">
        <v>28</v>
      </c>
      <c r="F63" s="166">
        <v>45</v>
      </c>
      <c r="G63" s="166">
        <v>23</v>
      </c>
      <c r="H63" s="167">
        <f t="shared" si="8"/>
        <v>-0.48888888888888893</v>
      </c>
      <c r="I63" s="167">
        <f t="shared" si="9"/>
        <v>4.4815089045633453E-5</v>
      </c>
    </row>
    <row r="64" spans="2:9" x14ac:dyDescent="0.25">
      <c r="B64" s="170" t="s">
        <v>148</v>
      </c>
      <c r="C64" s="171">
        <f>C56-SUM(C57:C63)</f>
        <v>684</v>
      </c>
      <c r="D64" s="171">
        <f>D56-SUM(D57:D63)</f>
        <v>1269</v>
      </c>
      <c r="E64" s="171">
        <f>E56-SUM(E57:E63)</f>
        <v>1284</v>
      </c>
      <c r="F64" s="171">
        <f>F56-SUM(F57:F63)</f>
        <v>1420</v>
      </c>
      <c r="G64" s="171">
        <f>G56-SUM(G57:G63)</f>
        <v>931</v>
      </c>
      <c r="H64" s="172">
        <f t="shared" si="8"/>
        <v>-0.34436619718309858</v>
      </c>
      <c r="I64" s="172">
        <f t="shared" si="9"/>
        <v>1.8140368652819453E-3</v>
      </c>
    </row>
    <row r="65" spans="2:9" x14ac:dyDescent="0.25">
      <c r="B65" s="157" t="s">
        <v>50</v>
      </c>
      <c r="C65" s="176"/>
      <c r="D65" s="176"/>
      <c r="E65" s="176"/>
      <c r="F65" s="176"/>
      <c r="G65" s="176"/>
      <c r="H65" s="177"/>
      <c r="I65" s="177"/>
    </row>
    <row r="66" spans="2:9" x14ac:dyDescent="0.25">
      <c r="B66" s="158" t="s">
        <v>71</v>
      </c>
      <c r="C66" s="178">
        <v>10801</v>
      </c>
      <c r="D66" s="178">
        <v>15987</v>
      </c>
      <c r="E66" s="178">
        <v>14525</v>
      </c>
      <c r="F66" s="178">
        <v>17482</v>
      </c>
      <c r="G66" s="178">
        <v>17177</v>
      </c>
      <c r="H66" s="179">
        <f t="shared" ref="H66:H78" si="10">IFERROR(G66/F66-1,"-")</f>
        <v>-1.7446516416885993E-2</v>
      </c>
      <c r="I66" s="179">
        <f t="shared" ref="I66:I78" si="11">G66/G$10</f>
        <v>3.3469077588558514E-2</v>
      </c>
    </row>
    <row r="67" spans="2:9" x14ac:dyDescent="0.25">
      <c r="B67" s="161" t="s">
        <v>100</v>
      </c>
      <c r="C67" s="162">
        <v>901</v>
      </c>
      <c r="D67" s="162">
        <v>913</v>
      </c>
      <c r="E67" s="162">
        <v>3913</v>
      </c>
      <c r="F67" s="162">
        <v>4285</v>
      </c>
      <c r="G67" s="162">
        <v>3188</v>
      </c>
      <c r="H67" s="163">
        <f t="shared" si="10"/>
        <v>-0.25600933488914823</v>
      </c>
      <c r="I67" s="163">
        <f t="shared" si="11"/>
        <v>6.2117610381512804E-3</v>
      </c>
    </row>
    <row r="68" spans="2:9" x14ac:dyDescent="0.25">
      <c r="B68" s="165" t="s">
        <v>106</v>
      </c>
      <c r="C68" s="166">
        <v>186</v>
      </c>
      <c r="D68" s="166">
        <v>154</v>
      </c>
      <c r="E68" s="166">
        <v>1878</v>
      </c>
      <c r="F68" s="166">
        <v>1587</v>
      </c>
      <c r="G68" s="166">
        <v>1321</v>
      </c>
      <c r="H68" s="167">
        <f t="shared" si="10"/>
        <v>-0.16761184625078762</v>
      </c>
      <c r="I68" s="167">
        <f t="shared" si="11"/>
        <v>2.5739448969252952E-3</v>
      </c>
    </row>
    <row r="69" spans="2:9" x14ac:dyDescent="0.25">
      <c r="B69" s="165" t="s">
        <v>103</v>
      </c>
      <c r="C69" s="166">
        <v>715</v>
      </c>
      <c r="D69" s="166">
        <v>759</v>
      </c>
      <c r="E69" s="166">
        <v>2035</v>
      </c>
      <c r="F69" s="166">
        <v>2698</v>
      </c>
      <c r="G69" s="166">
        <v>1867</v>
      </c>
      <c r="H69" s="167">
        <f t="shared" si="10"/>
        <v>-0.30800593031875467</v>
      </c>
      <c r="I69" s="167">
        <f t="shared" si="11"/>
        <v>3.6378161412259848E-3</v>
      </c>
    </row>
    <row r="70" spans="2:9" x14ac:dyDescent="0.25">
      <c r="B70" s="161" t="s">
        <v>110</v>
      </c>
      <c r="C70" s="162">
        <v>9900</v>
      </c>
      <c r="D70" s="162">
        <v>15074</v>
      </c>
      <c r="E70" s="162">
        <v>10612</v>
      </c>
      <c r="F70" s="162">
        <v>13197</v>
      </c>
      <c r="G70" s="162">
        <v>13989</v>
      </c>
      <c r="H70" s="163">
        <f t="shared" si="10"/>
        <v>6.0013639463514457E-2</v>
      </c>
      <c r="I70" s="163">
        <f t="shared" si="11"/>
        <v>2.7257316550407234E-2</v>
      </c>
    </row>
    <row r="71" spans="2:9" x14ac:dyDescent="0.25">
      <c r="B71" s="165" t="s">
        <v>113</v>
      </c>
      <c r="C71" s="166">
        <v>2011</v>
      </c>
      <c r="D71" s="166">
        <v>5041</v>
      </c>
      <c r="E71" s="166">
        <v>4805</v>
      </c>
      <c r="F71" s="166">
        <v>5370</v>
      </c>
      <c r="G71" s="166">
        <v>6087</v>
      </c>
      <c r="H71" s="167">
        <f t="shared" si="10"/>
        <v>0.13351955307262564</v>
      </c>
      <c r="I71" s="167">
        <f t="shared" si="11"/>
        <v>1.1860410740033514E-2</v>
      </c>
    </row>
    <row r="72" spans="2:9" x14ac:dyDescent="0.25">
      <c r="B72" s="165" t="s">
        <v>116</v>
      </c>
      <c r="C72" s="166">
        <v>466</v>
      </c>
      <c r="D72" s="166">
        <v>667</v>
      </c>
      <c r="E72" s="166">
        <v>1561</v>
      </c>
      <c r="F72" s="166">
        <v>1331</v>
      </c>
      <c r="G72" s="166">
        <v>1126</v>
      </c>
      <c r="H72" s="167">
        <f t="shared" si="10"/>
        <v>-0.15401953418482339</v>
      </c>
      <c r="I72" s="167">
        <f t="shared" si="11"/>
        <v>2.1939908811036204E-3</v>
      </c>
    </row>
    <row r="73" spans="2:9" x14ac:dyDescent="0.25">
      <c r="B73" s="165" t="s">
        <v>119</v>
      </c>
      <c r="C73" s="166">
        <v>1207</v>
      </c>
      <c r="D73" s="166">
        <v>2185</v>
      </c>
      <c r="E73" s="166">
        <v>582</v>
      </c>
      <c r="F73" s="166">
        <v>764</v>
      </c>
      <c r="G73" s="166">
        <v>733</v>
      </c>
      <c r="H73" s="167">
        <f t="shared" si="10"/>
        <v>-4.0575916230366493E-2</v>
      </c>
      <c r="I73" s="167">
        <f t="shared" si="11"/>
        <v>1.4282374030630139E-3</v>
      </c>
    </row>
    <row r="74" spans="2:9" x14ac:dyDescent="0.25">
      <c r="B74" s="165" t="s">
        <v>126</v>
      </c>
      <c r="C74" s="166">
        <v>1120</v>
      </c>
      <c r="D74" s="166">
        <v>379</v>
      </c>
      <c r="E74" s="166">
        <v>391</v>
      </c>
      <c r="F74" s="166">
        <v>532</v>
      </c>
      <c r="G74" s="166">
        <v>529</v>
      </c>
      <c r="H74" s="167">
        <f t="shared" si="10"/>
        <v>-5.6390977443608881E-3</v>
      </c>
      <c r="I74" s="167">
        <f t="shared" si="11"/>
        <v>1.0307470480495694E-3</v>
      </c>
    </row>
    <row r="75" spans="2:9" x14ac:dyDescent="0.25">
      <c r="B75" s="165" t="s">
        <v>122</v>
      </c>
      <c r="C75" s="166">
        <v>350</v>
      </c>
      <c r="D75" s="166">
        <v>267</v>
      </c>
      <c r="E75" s="166">
        <v>122</v>
      </c>
      <c r="F75" s="166">
        <v>318</v>
      </c>
      <c r="G75" s="166">
        <v>455</v>
      </c>
      <c r="H75" s="167">
        <f t="shared" si="10"/>
        <v>0.4308176100628931</v>
      </c>
      <c r="I75" s="167">
        <f t="shared" si="11"/>
        <v>8.8655937025057475E-4</v>
      </c>
    </row>
    <row r="76" spans="2:9" x14ac:dyDescent="0.25">
      <c r="B76" s="165" t="s">
        <v>131</v>
      </c>
      <c r="C76" s="166">
        <v>714</v>
      </c>
      <c r="D76" s="166">
        <v>896</v>
      </c>
      <c r="E76" s="166">
        <v>180</v>
      </c>
      <c r="F76" s="166">
        <v>384</v>
      </c>
      <c r="G76" s="166">
        <v>322</v>
      </c>
      <c r="H76" s="167">
        <f t="shared" si="10"/>
        <v>-0.16145833333333337</v>
      </c>
      <c r="I76" s="167">
        <f t="shared" si="11"/>
        <v>6.2741124663886832E-4</v>
      </c>
    </row>
    <row r="77" spans="2:9" x14ac:dyDescent="0.25">
      <c r="B77" s="165" t="s">
        <v>134</v>
      </c>
      <c r="C77" s="166">
        <v>175</v>
      </c>
      <c r="D77" s="166">
        <v>367</v>
      </c>
      <c r="E77" s="166">
        <v>50</v>
      </c>
      <c r="F77" s="166">
        <v>869</v>
      </c>
      <c r="G77" s="166">
        <v>616</v>
      </c>
      <c r="H77" s="167">
        <f t="shared" si="10"/>
        <v>-0.29113924050632911</v>
      </c>
      <c r="I77" s="167">
        <f t="shared" si="11"/>
        <v>1.200264993570009E-3</v>
      </c>
    </row>
    <row r="78" spans="2:9" x14ac:dyDescent="0.25">
      <c r="B78" s="170" t="s">
        <v>148</v>
      </c>
      <c r="C78" s="171">
        <f>C70-SUM(C71:C77)</f>
        <v>3857</v>
      </c>
      <c r="D78" s="171">
        <f>D70-SUM(D71:D77)</f>
        <v>5272</v>
      </c>
      <c r="E78" s="171">
        <f>E70-SUM(E71:E77)</f>
        <v>2921</v>
      </c>
      <c r="F78" s="171">
        <f>F70-SUM(F71:F77)</f>
        <v>3629</v>
      </c>
      <c r="G78" s="171">
        <f>G70-SUM(G71:G77)</f>
        <v>4121</v>
      </c>
      <c r="H78" s="172">
        <f t="shared" si="10"/>
        <v>0.13557453844034173</v>
      </c>
      <c r="I78" s="172">
        <f t="shared" si="11"/>
        <v>8.0296948676980631E-3</v>
      </c>
    </row>
    <row r="79" spans="2:9" x14ac:dyDescent="0.25">
      <c r="B79" s="157" t="s">
        <v>51</v>
      </c>
      <c r="C79" s="176"/>
      <c r="D79" s="176"/>
      <c r="E79" s="176"/>
      <c r="F79" s="176"/>
      <c r="G79" s="176"/>
      <c r="H79" s="177"/>
      <c r="I79" s="177"/>
    </row>
    <row r="80" spans="2:9" x14ac:dyDescent="0.25">
      <c r="B80" s="158" t="s">
        <v>71</v>
      </c>
      <c r="C80" s="178">
        <v>51089</v>
      </c>
      <c r="D80" s="178">
        <v>71326</v>
      </c>
      <c r="E80" s="178">
        <v>74452</v>
      </c>
      <c r="F80" s="178">
        <v>79840</v>
      </c>
      <c r="G80" s="178">
        <v>81833</v>
      </c>
      <c r="H80" s="179">
        <f t="shared" ref="H80:H92" si="12">IFERROR(G80/F80-1,"-")</f>
        <v>2.4962424849699349E-2</v>
      </c>
      <c r="I80" s="179">
        <f t="shared" ref="I80:I92" si="13">G80/G$10</f>
        <v>0.1594501383422314</v>
      </c>
    </row>
    <row r="81" spans="2:9" x14ac:dyDescent="0.25">
      <c r="B81" s="161" t="s">
        <v>100</v>
      </c>
      <c r="C81" s="162">
        <v>17161</v>
      </c>
      <c r="D81" s="162">
        <v>24742</v>
      </c>
      <c r="E81" s="162">
        <v>20881</v>
      </c>
      <c r="F81" s="162">
        <v>22516</v>
      </c>
      <c r="G81" s="162">
        <v>25263</v>
      </c>
      <c r="H81" s="163">
        <f t="shared" si="12"/>
        <v>0.12200213181737429</v>
      </c>
      <c r="I81" s="163">
        <f t="shared" si="13"/>
        <v>4.92245041112973E-2</v>
      </c>
    </row>
    <row r="82" spans="2:9" x14ac:dyDescent="0.25">
      <c r="B82" s="165" t="s">
        <v>106</v>
      </c>
      <c r="C82" s="166">
        <v>6495</v>
      </c>
      <c r="D82" s="166">
        <v>5994</v>
      </c>
      <c r="E82" s="166">
        <v>5109</v>
      </c>
      <c r="F82" s="166">
        <v>5683</v>
      </c>
      <c r="G82" s="166">
        <v>7202</v>
      </c>
      <c r="H82" s="167">
        <f t="shared" si="12"/>
        <v>0.26728840401196541</v>
      </c>
      <c r="I82" s="167">
        <f t="shared" si="13"/>
        <v>1.4032968317680528E-2</v>
      </c>
    </row>
    <row r="83" spans="2:9" x14ac:dyDescent="0.25">
      <c r="B83" s="165" t="s">
        <v>103</v>
      </c>
      <c r="C83" s="166">
        <v>10666</v>
      </c>
      <c r="D83" s="166">
        <v>18748</v>
      </c>
      <c r="E83" s="166">
        <v>15772</v>
      </c>
      <c r="F83" s="166">
        <v>16833</v>
      </c>
      <c r="G83" s="166">
        <v>18061</v>
      </c>
      <c r="H83" s="167">
        <f t="shared" si="12"/>
        <v>7.2951939642369235E-2</v>
      </c>
      <c r="I83" s="167">
        <f t="shared" si="13"/>
        <v>3.5191535793616772E-2</v>
      </c>
    </row>
    <row r="84" spans="2:9" x14ac:dyDescent="0.25">
      <c r="B84" s="161" t="s">
        <v>110</v>
      </c>
      <c r="C84" s="162">
        <v>33928</v>
      </c>
      <c r="D84" s="162">
        <v>46584</v>
      </c>
      <c r="E84" s="162">
        <v>53571</v>
      </c>
      <c r="F84" s="162">
        <v>57324</v>
      </c>
      <c r="G84" s="162">
        <v>56570</v>
      </c>
      <c r="H84" s="163">
        <f t="shared" si="12"/>
        <v>-1.3153304026236823E-2</v>
      </c>
      <c r="I84" s="163">
        <f t="shared" si="13"/>
        <v>0.11022563423093411</v>
      </c>
    </row>
    <row r="85" spans="2:9" x14ac:dyDescent="0.25">
      <c r="B85" s="165" t="s">
        <v>113</v>
      </c>
      <c r="C85" s="166">
        <v>3274</v>
      </c>
      <c r="D85" s="166">
        <v>7693</v>
      </c>
      <c r="E85" s="166">
        <v>10029</v>
      </c>
      <c r="F85" s="166">
        <v>10687</v>
      </c>
      <c r="G85" s="166">
        <v>9967</v>
      </c>
      <c r="H85" s="167">
        <f t="shared" si="12"/>
        <v>-6.7371572939084912E-2</v>
      </c>
      <c r="I85" s="167">
        <f t="shared" si="13"/>
        <v>1.9420521413818635E-2</v>
      </c>
    </row>
    <row r="86" spans="2:9" x14ac:dyDescent="0.25">
      <c r="B86" s="165" t="s">
        <v>116</v>
      </c>
      <c r="C86" s="166">
        <v>13019</v>
      </c>
      <c r="D86" s="166">
        <v>16107</v>
      </c>
      <c r="E86" s="166">
        <v>16817</v>
      </c>
      <c r="F86" s="166">
        <v>18023</v>
      </c>
      <c r="G86" s="166">
        <v>17501</v>
      </c>
      <c r="H86" s="167">
        <f t="shared" si="12"/>
        <v>-2.8962991732785937E-2</v>
      </c>
      <c r="I86" s="167">
        <f t="shared" si="13"/>
        <v>3.4100385799462216E-2</v>
      </c>
    </row>
    <row r="87" spans="2:9" x14ac:dyDescent="0.25">
      <c r="B87" s="165" t="s">
        <v>119</v>
      </c>
      <c r="C87" s="166">
        <v>2303</v>
      </c>
      <c r="D87" s="166">
        <v>3074</v>
      </c>
      <c r="E87" s="166">
        <v>4120</v>
      </c>
      <c r="F87" s="166">
        <v>4353</v>
      </c>
      <c r="G87" s="166">
        <v>4254</v>
      </c>
      <c r="H87" s="167">
        <f t="shared" si="12"/>
        <v>-2.2742935906271522E-2</v>
      </c>
      <c r="I87" s="167">
        <f t="shared" si="13"/>
        <v>8.2888429913097698E-3</v>
      </c>
    </row>
    <row r="88" spans="2:9" x14ac:dyDescent="0.25">
      <c r="B88" s="165" t="s">
        <v>126</v>
      </c>
      <c r="C88" s="166">
        <v>1264</v>
      </c>
      <c r="D88" s="166">
        <v>1183</v>
      </c>
      <c r="E88" s="166">
        <v>1526</v>
      </c>
      <c r="F88" s="166">
        <v>2010</v>
      </c>
      <c r="G88" s="166">
        <v>1482</v>
      </c>
      <c r="H88" s="167">
        <f t="shared" si="12"/>
        <v>-0.26268656716417915</v>
      </c>
      <c r="I88" s="167">
        <f t="shared" si="13"/>
        <v>2.8876505202447295E-3</v>
      </c>
    </row>
    <row r="89" spans="2:9" x14ac:dyDescent="0.25">
      <c r="B89" s="165" t="s">
        <v>122</v>
      </c>
      <c r="C89" s="166">
        <v>754</v>
      </c>
      <c r="D89" s="166">
        <v>761</v>
      </c>
      <c r="E89" s="166">
        <v>700</v>
      </c>
      <c r="F89" s="166">
        <v>943</v>
      </c>
      <c r="G89" s="166">
        <v>1083</v>
      </c>
      <c r="H89" s="167">
        <f t="shared" si="12"/>
        <v>0.1484623541887593</v>
      </c>
      <c r="I89" s="167">
        <f t="shared" si="13"/>
        <v>2.11020614940961E-3</v>
      </c>
    </row>
    <row r="90" spans="2:9" x14ac:dyDescent="0.25">
      <c r="B90" s="165" t="s">
        <v>131</v>
      </c>
      <c r="C90" s="166">
        <v>839</v>
      </c>
      <c r="D90" s="166">
        <v>1387</v>
      </c>
      <c r="E90" s="166">
        <v>1516</v>
      </c>
      <c r="F90" s="166">
        <v>1023</v>
      </c>
      <c r="G90" s="166">
        <v>1070</v>
      </c>
      <c r="H90" s="167">
        <f t="shared" si="12"/>
        <v>4.5943304007820096E-2</v>
      </c>
      <c r="I90" s="167">
        <f t="shared" si="13"/>
        <v>2.0848758816881651E-3</v>
      </c>
    </row>
    <row r="91" spans="2:9" x14ac:dyDescent="0.25">
      <c r="B91" s="165" t="s">
        <v>134</v>
      </c>
      <c r="C91" s="166">
        <v>1182</v>
      </c>
      <c r="D91" s="166">
        <v>2067</v>
      </c>
      <c r="E91" s="166">
        <v>2178</v>
      </c>
      <c r="F91" s="166">
        <v>1721</v>
      </c>
      <c r="G91" s="166">
        <v>1696</v>
      </c>
      <c r="H91" s="167">
        <f t="shared" si="12"/>
        <v>-1.4526438117373641E-2</v>
      </c>
      <c r="I91" s="167">
        <f t="shared" si="13"/>
        <v>3.3046256965823624E-3</v>
      </c>
    </row>
    <row r="92" spans="2:9" x14ac:dyDescent="0.25">
      <c r="B92" s="170" t="s">
        <v>148</v>
      </c>
      <c r="C92" s="171">
        <f>C84-SUM(C85:C91)</f>
        <v>11293</v>
      </c>
      <c r="D92" s="171">
        <f>D84-SUM(D85:D91)</f>
        <v>14312</v>
      </c>
      <c r="E92" s="171">
        <f>E84-SUM(E85:E91)</f>
        <v>16685</v>
      </c>
      <c r="F92" s="171">
        <f>F84-SUM(F85:F91)</f>
        <v>18564</v>
      </c>
      <c r="G92" s="171">
        <f>G84-SUM(G85:G91)</f>
        <v>19517</v>
      </c>
      <c r="H92" s="172">
        <f t="shared" si="12"/>
        <v>5.1335918982977846E-2</v>
      </c>
      <c r="I92" s="172">
        <f t="shared" si="13"/>
        <v>3.8028525778418615E-2</v>
      </c>
    </row>
    <row r="93" spans="2:9" x14ac:dyDescent="0.25">
      <c r="B93" s="157" t="s">
        <v>52</v>
      </c>
      <c r="C93" s="176"/>
      <c r="D93" s="176"/>
      <c r="E93" s="176"/>
      <c r="F93" s="176"/>
      <c r="G93" s="176"/>
      <c r="H93" s="177"/>
      <c r="I93" s="177"/>
    </row>
    <row r="94" spans="2:9" x14ac:dyDescent="0.25">
      <c r="B94" s="158" t="s">
        <v>71</v>
      </c>
      <c r="C94" s="178">
        <v>4794</v>
      </c>
      <c r="D94" s="178">
        <v>5361</v>
      </c>
      <c r="E94" s="178">
        <v>4792</v>
      </c>
      <c r="F94" s="178">
        <v>5436</v>
      </c>
      <c r="G94" s="178">
        <v>5469</v>
      </c>
      <c r="H94" s="179">
        <f t="shared" ref="H94:H106" si="14">IFERROR(G94/F94-1,"-")</f>
        <v>6.070640176600417E-3</v>
      </c>
      <c r="I94" s="179">
        <f t="shared" ref="I94:I106" si="15">G94/G$10</f>
        <v>1.0656248782198667E-2</v>
      </c>
    </row>
    <row r="95" spans="2:9" x14ac:dyDescent="0.25">
      <c r="B95" s="161" t="s">
        <v>100</v>
      </c>
      <c r="C95" s="162">
        <v>3022</v>
      </c>
      <c r="D95" s="162">
        <v>3424</v>
      </c>
      <c r="E95" s="162">
        <v>2617</v>
      </c>
      <c r="F95" s="162">
        <v>3274</v>
      </c>
      <c r="G95" s="162">
        <v>3366</v>
      </c>
      <c r="H95" s="163">
        <f t="shared" si="14"/>
        <v>2.8100183262064649E-2</v>
      </c>
      <c r="I95" s="163">
        <f t="shared" si="15"/>
        <v>6.558590857721835E-3</v>
      </c>
    </row>
    <row r="96" spans="2:9" x14ac:dyDescent="0.25">
      <c r="B96" s="165" t="s">
        <v>106</v>
      </c>
      <c r="C96" s="166">
        <v>1498</v>
      </c>
      <c r="D96" s="166">
        <v>1825</v>
      </c>
      <c r="E96" s="166">
        <v>1173</v>
      </c>
      <c r="F96" s="166">
        <v>1487</v>
      </c>
      <c r="G96" s="166">
        <v>1803</v>
      </c>
      <c r="H96" s="167">
        <f t="shared" si="14"/>
        <v>0.21250840618695355</v>
      </c>
      <c r="I96" s="167">
        <f t="shared" si="15"/>
        <v>3.5131132847511788E-3</v>
      </c>
    </row>
    <row r="97" spans="2:9" x14ac:dyDescent="0.25">
      <c r="B97" s="165" t="s">
        <v>103</v>
      </c>
      <c r="C97" s="166">
        <v>1524</v>
      </c>
      <c r="D97" s="166">
        <v>1599</v>
      </c>
      <c r="E97" s="166">
        <v>1444</v>
      </c>
      <c r="F97" s="166">
        <v>1787</v>
      </c>
      <c r="G97" s="166">
        <v>1563</v>
      </c>
      <c r="H97" s="167">
        <f t="shared" si="14"/>
        <v>-0.12534974818130951</v>
      </c>
      <c r="I97" s="167">
        <f t="shared" si="15"/>
        <v>3.0454775729706557E-3</v>
      </c>
    </row>
    <row r="98" spans="2:9" x14ac:dyDescent="0.25">
      <c r="B98" s="161" t="s">
        <v>110</v>
      </c>
      <c r="C98" s="162">
        <v>1772</v>
      </c>
      <c r="D98" s="162">
        <v>1937</v>
      </c>
      <c r="E98" s="162">
        <v>2175</v>
      </c>
      <c r="F98" s="162">
        <v>2162</v>
      </c>
      <c r="G98" s="162">
        <v>2103</v>
      </c>
      <c r="H98" s="163">
        <f t="shared" si="14"/>
        <v>-2.7289546716003699E-2</v>
      </c>
      <c r="I98" s="163">
        <f t="shared" si="15"/>
        <v>4.097657924476833E-3</v>
      </c>
    </row>
    <row r="99" spans="2:9" x14ac:dyDescent="0.25">
      <c r="B99" s="165" t="s">
        <v>113</v>
      </c>
      <c r="C99" s="166">
        <v>197</v>
      </c>
      <c r="D99" s="166">
        <v>318</v>
      </c>
      <c r="E99" s="166">
        <v>352</v>
      </c>
      <c r="F99" s="166">
        <v>296</v>
      </c>
      <c r="G99" s="166">
        <v>288</v>
      </c>
      <c r="H99" s="167">
        <f t="shared" si="14"/>
        <v>-2.7027027027026973E-2</v>
      </c>
      <c r="I99" s="167">
        <f t="shared" si="15"/>
        <v>5.6116285413662756E-4</v>
      </c>
    </row>
    <row r="100" spans="2:9" x14ac:dyDescent="0.25">
      <c r="B100" s="165" t="s">
        <v>116</v>
      </c>
      <c r="C100" s="166">
        <v>406</v>
      </c>
      <c r="D100" s="166">
        <v>412</v>
      </c>
      <c r="E100" s="166">
        <v>481</v>
      </c>
      <c r="F100" s="166">
        <v>512</v>
      </c>
      <c r="G100" s="166">
        <v>464</v>
      </c>
      <c r="H100" s="167">
        <f t="shared" si="14"/>
        <v>-9.375E-2</v>
      </c>
      <c r="I100" s="167">
        <f t="shared" si="15"/>
        <v>9.0409570944234444E-4</v>
      </c>
    </row>
    <row r="101" spans="2:9" x14ac:dyDescent="0.25">
      <c r="B101" s="165" t="s">
        <v>119</v>
      </c>
      <c r="C101" s="166">
        <v>371</v>
      </c>
      <c r="D101" s="166">
        <v>358</v>
      </c>
      <c r="E101" s="166">
        <v>313</v>
      </c>
      <c r="F101" s="166">
        <v>299</v>
      </c>
      <c r="G101" s="166">
        <v>355</v>
      </c>
      <c r="H101" s="167">
        <f t="shared" si="14"/>
        <v>0.18729096989966565</v>
      </c>
      <c r="I101" s="167">
        <f t="shared" si="15"/>
        <v>6.9171115700869025E-4</v>
      </c>
    </row>
    <row r="102" spans="2:9" x14ac:dyDescent="0.25">
      <c r="B102" s="165" t="s">
        <v>126</v>
      </c>
      <c r="C102" s="166">
        <v>111</v>
      </c>
      <c r="D102" s="166">
        <v>126</v>
      </c>
      <c r="E102" s="166">
        <v>117</v>
      </c>
      <c r="F102" s="166">
        <v>83</v>
      </c>
      <c r="G102" s="166">
        <v>92</v>
      </c>
      <c r="H102" s="167">
        <f t="shared" si="14"/>
        <v>0.10843373493975905</v>
      </c>
      <c r="I102" s="167">
        <f t="shared" si="15"/>
        <v>1.7926035618253381E-4</v>
      </c>
    </row>
    <row r="103" spans="2:9" x14ac:dyDescent="0.25">
      <c r="B103" s="165" t="s">
        <v>122</v>
      </c>
      <c r="C103" s="166">
        <v>75</v>
      </c>
      <c r="D103" s="166">
        <v>53</v>
      </c>
      <c r="E103" s="166">
        <v>82</v>
      </c>
      <c r="F103" s="166">
        <v>143</v>
      </c>
      <c r="G103" s="166">
        <v>99</v>
      </c>
      <c r="H103" s="167">
        <f t="shared" si="14"/>
        <v>-0.30769230769230771</v>
      </c>
      <c r="I103" s="167">
        <f t="shared" si="15"/>
        <v>1.9289973110946573E-4</v>
      </c>
    </row>
    <row r="104" spans="2:9" x14ac:dyDescent="0.25">
      <c r="B104" s="165" t="s">
        <v>131</v>
      </c>
      <c r="C104" s="166">
        <v>33</v>
      </c>
      <c r="D104" s="166">
        <v>24</v>
      </c>
      <c r="E104" s="166">
        <v>18</v>
      </c>
      <c r="F104" s="166">
        <v>4</v>
      </c>
      <c r="G104" s="166">
        <v>10</v>
      </c>
      <c r="H104" s="167">
        <f t="shared" si="14"/>
        <v>1.5</v>
      </c>
      <c r="I104" s="167">
        <f t="shared" si="15"/>
        <v>1.9484821324188458E-5</v>
      </c>
    </row>
    <row r="105" spans="2:9" x14ac:dyDescent="0.25">
      <c r="B105" s="165" t="s">
        <v>134</v>
      </c>
      <c r="C105" s="166">
        <v>17</v>
      </c>
      <c r="D105" s="166">
        <v>35</v>
      </c>
      <c r="E105" s="166">
        <v>36</v>
      </c>
      <c r="F105" s="166">
        <v>42</v>
      </c>
      <c r="G105" s="166">
        <v>8</v>
      </c>
      <c r="H105" s="167">
        <f t="shared" si="14"/>
        <v>-0.80952380952380953</v>
      </c>
      <c r="I105" s="167">
        <f t="shared" si="15"/>
        <v>1.5587857059350764E-5</v>
      </c>
    </row>
    <row r="106" spans="2:9" x14ac:dyDescent="0.25">
      <c r="B106" s="170" t="s">
        <v>148</v>
      </c>
      <c r="C106" s="171">
        <f>C98-SUM(C99:C105)</f>
        <v>562</v>
      </c>
      <c r="D106" s="171">
        <f>D98-SUM(D99:D105)</f>
        <v>611</v>
      </c>
      <c r="E106" s="171">
        <f>E98-SUM(E99:E105)</f>
        <v>776</v>
      </c>
      <c r="F106" s="171">
        <f>F98-SUM(F99:F105)</f>
        <v>783</v>
      </c>
      <c r="G106" s="171">
        <f>G98-SUM(G99:G105)</f>
        <v>787</v>
      </c>
      <c r="H106" s="172">
        <f t="shared" si="14"/>
        <v>5.1085568326947328E-3</v>
      </c>
      <c r="I106" s="172">
        <f t="shared" si="15"/>
        <v>1.5334554382136316E-3</v>
      </c>
    </row>
    <row r="107" spans="2:9" x14ac:dyDescent="0.25">
      <c r="B107" s="157" t="s">
        <v>53</v>
      </c>
      <c r="C107" s="176"/>
      <c r="D107" s="176"/>
      <c r="E107" s="176"/>
      <c r="F107" s="176"/>
      <c r="G107" s="176"/>
      <c r="H107" s="177"/>
      <c r="I107" s="177"/>
    </row>
    <row r="108" spans="2:9" x14ac:dyDescent="0.25">
      <c r="B108" s="158" t="s">
        <v>71</v>
      </c>
      <c r="C108" s="178">
        <v>15768</v>
      </c>
      <c r="D108" s="178">
        <v>20517</v>
      </c>
      <c r="E108" s="178">
        <v>23002</v>
      </c>
      <c r="F108" s="178">
        <v>20336</v>
      </c>
      <c r="G108" s="178">
        <v>23286</v>
      </c>
      <c r="H108" s="179">
        <f t="shared" ref="H108:H120" si="16">IFERROR(G108/F108-1,"-")</f>
        <v>0.14506294256490948</v>
      </c>
      <c r="I108" s="179">
        <f t="shared" ref="I108:I120" si="17">G108/G$10</f>
        <v>4.5372354935505239E-2</v>
      </c>
    </row>
    <row r="109" spans="2:9" x14ac:dyDescent="0.25">
      <c r="B109" s="161" t="s">
        <v>100</v>
      </c>
      <c r="C109" s="162">
        <v>3394</v>
      </c>
      <c r="D109" s="162">
        <v>3573</v>
      </c>
      <c r="E109" s="162">
        <v>3901</v>
      </c>
      <c r="F109" s="162">
        <v>3242</v>
      </c>
      <c r="G109" s="162">
        <v>2967</v>
      </c>
      <c r="H109" s="163">
        <f t="shared" si="16"/>
        <v>-8.4824182603331244E-2</v>
      </c>
      <c r="I109" s="163">
        <f t="shared" si="17"/>
        <v>5.781146486886715E-3</v>
      </c>
    </row>
    <row r="110" spans="2:9" x14ac:dyDescent="0.25">
      <c r="B110" s="165" t="s">
        <v>106</v>
      </c>
      <c r="C110" s="166">
        <v>1391</v>
      </c>
      <c r="D110" s="166">
        <v>1018</v>
      </c>
      <c r="E110" s="166">
        <v>680</v>
      </c>
      <c r="F110" s="166">
        <v>747</v>
      </c>
      <c r="G110" s="166">
        <v>1485</v>
      </c>
      <c r="H110" s="167">
        <f t="shared" si="16"/>
        <v>0.98795180722891573</v>
      </c>
      <c r="I110" s="167">
        <f t="shared" si="17"/>
        <v>2.8934959666419859E-3</v>
      </c>
    </row>
    <row r="111" spans="2:9" x14ac:dyDescent="0.25">
      <c r="B111" s="165" t="s">
        <v>103</v>
      </c>
      <c r="C111" s="166">
        <v>2003</v>
      </c>
      <c r="D111" s="166">
        <v>2555</v>
      </c>
      <c r="E111" s="166">
        <v>3221</v>
      </c>
      <c r="F111" s="166">
        <v>2495</v>
      </c>
      <c r="G111" s="166">
        <v>1482</v>
      </c>
      <c r="H111" s="167">
        <f t="shared" si="16"/>
        <v>-0.40601202404809622</v>
      </c>
      <c r="I111" s="167">
        <f t="shared" si="17"/>
        <v>2.8876505202447295E-3</v>
      </c>
    </row>
    <row r="112" spans="2:9" x14ac:dyDescent="0.25">
      <c r="B112" s="161" t="s">
        <v>110</v>
      </c>
      <c r="C112" s="162">
        <v>12374</v>
      </c>
      <c r="D112" s="162">
        <v>16944</v>
      </c>
      <c r="E112" s="162">
        <v>19101</v>
      </c>
      <c r="F112" s="162">
        <v>17094</v>
      </c>
      <c r="G112" s="162">
        <v>20319</v>
      </c>
      <c r="H112" s="163">
        <f t="shared" si="16"/>
        <v>0.18866268866268876</v>
      </c>
      <c r="I112" s="163">
        <f t="shared" si="17"/>
        <v>3.9591208448618527E-2</v>
      </c>
    </row>
    <row r="113" spans="2:9" x14ac:dyDescent="0.25">
      <c r="B113" s="165" t="s">
        <v>113</v>
      </c>
      <c r="C113" s="166">
        <v>6174</v>
      </c>
      <c r="D113" s="166">
        <v>10334</v>
      </c>
      <c r="E113" s="166">
        <v>11424</v>
      </c>
      <c r="F113" s="166">
        <v>10129</v>
      </c>
      <c r="G113" s="166">
        <v>9512</v>
      </c>
      <c r="H113" s="167">
        <f t="shared" si="16"/>
        <v>-6.0914206733142517E-2</v>
      </c>
      <c r="I113" s="167">
        <f t="shared" si="17"/>
        <v>1.853396204356806E-2</v>
      </c>
    </row>
    <row r="114" spans="2:9" x14ac:dyDescent="0.25">
      <c r="B114" s="165" t="s">
        <v>116</v>
      </c>
      <c r="C114" s="166">
        <v>895</v>
      </c>
      <c r="D114" s="166">
        <v>940</v>
      </c>
      <c r="E114" s="166">
        <v>1248</v>
      </c>
      <c r="F114" s="166">
        <v>928</v>
      </c>
      <c r="G114" s="166">
        <v>1224</v>
      </c>
      <c r="H114" s="167">
        <f t="shared" si="16"/>
        <v>0.31896551724137923</v>
      </c>
      <c r="I114" s="167">
        <f t="shared" si="17"/>
        <v>2.3849421300806673E-3</v>
      </c>
    </row>
    <row r="115" spans="2:9" x14ac:dyDescent="0.25">
      <c r="B115" s="165" t="s">
        <v>119</v>
      </c>
      <c r="C115" s="166">
        <v>790</v>
      </c>
      <c r="D115" s="166">
        <v>1062</v>
      </c>
      <c r="E115" s="166">
        <v>920</v>
      </c>
      <c r="F115" s="166">
        <v>1168</v>
      </c>
      <c r="G115" s="166">
        <v>1380</v>
      </c>
      <c r="H115" s="167">
        <f t="shared" si="16"/>
        <v>0.18150684931506844</v>
      </c>
      <c r="I115" s="167">
        <f t="shared" si="17"/>
        <v>2.6889053427380069E-3</v>
      </c>
    </row>
    <row r="116" spans="2:9" x14ac:dyDescent="0.25">
      <c r="B116" s="165" t="s">
        <v>126</v>
      </c>
      <c r="C116" s="166">
        <v>631</v>
      </c>
      <c r="D116" s="166">
        <v>648</v>
      </c>
      <c r="E116" s="166">
        <v>769</v>
      </c>
      <c r="F116" s="166">
        <v>565</v>
      </c>
      <c r="G116" s="166">
        <v>538</v>
      </c>
      <c r="H116" s="167">
        <f t="shared" si="16"/>
        <v>-4.7787610619469012E-2</v>
      </c>
      <c r="I116" s="167">
        <f t="shared" si="17"/>
        <v>1.0482833872413389E-3</v>
      </c>
    </row>
    <row r="117" spans="2:9" x14ac:dyDescent="0.25">
      <c r="B117" s="165" t="s">
        <v>122</v>
      </c>
      <c r="C117" s="166">
        <v>679</v>
      </c>
      <c r="D117" s="166">
        <v>400</v>
      </c>
      <c r="E117" s="166">
        <v>553</v>
      </c>
      <c r="F117" s="166">
        <v>436</v>
      </c>
      <c r="G117" s="166">
        <v>406</v>
      </c>
      <c r="H117" s="167">
        <f t="shared" si="16"/>
        <v>-6.8807339449541316E-2</v>
      </c>
      <c r="I117" s="167">
        <f t="shared" si="17"/>
        <v>7.9108374576205133E-4</v>
      </c>
    </row>
    <row r="118" spans="2:9" x14ac:dyDescent="0.25">
      <c r="B118" s="165" t="s">
        <v>131</v>
      </c>
      <c r="C118" s="166">
        <v>134</v>
      </c>
      <c r="D118" s="166">
        <v>164</v>
      </c>
      <c r="E118" s="166">
        <v>249</v>
      </c>
      <c r="F118" s="166">
        <v>155</v>
      </c>
      <c r="G118" s="166">
        <v>177</v>
      </c>
      <c r="H118" s="167">
        <f t="shared" si="16"/>
        <v>0.14193548387096766</v>
      </c>
      <c r="I118" s="167">
        <f t="shared" si="17"/>
        <v>3.4488133743813571E-4</v>
      </c>
    </row>
    <row r="119" spans="2:9" x14ac:dyDescent="0.25">
      <c r="B119" s="165" t="s">
        <v>134</v>
      </c>
      <c r="C119" s="166">
        <v>223</v>
      </c>
      <c r="D119" s="166">
        <v>149</v>
      </c>
      <c r="E119" s="166">
        <v>250</v>
      </c>
      <c r="F119" s="166">
        <v>220</v>
      </c>
      <c r="G119" s="166">
        <v>182</v>
      </c>
      <c r="H119" s="167">
        <f t="shared" si="16"/>
        <v>-0.17272727272727273</v>
      </c>
      <c r="I119" s="167">
        <f t="shared" si="17"/>
        <v>3.5462374810022991E-4</v>
      </c>
    </row>
    <row r="120" spans="2:9" x14ac:dyDescent="0.25">
      <c r="B120" s="170" t="s">
        <v>148</v>
      </c>
      <c r="C120" s="171">
        <f>C112-SUM(C113:C119)</f>
        <v>2848</v>
      </c>
      <c r="D120" s="171">
        <f>D112-SUM(D113:D119)</f>
        <v>3247</v>
      </c>
      <c r="E120" s="171">
        <f>E112-SUM(E113:E119)</f>
        <v>3688</v>
      </c>
      <c r="F120" s="171">
        <f>F112-SUM(F113:F119)</f>
        <v>3493</v>
      </c>
      <c r="G120" s="171">
        <f>G112-SUM(G113:G119)</f>
        <v>6900</v>
      </c>
      <c r="H120" s="172">
        <f t="shared" si="16"/>
        <v>0.975379330088749</v>
      </c>
      <c r="I120" s="172">
        <f t="shared" si="17"/>
        <v>1.3444526713690036E-2</v>
      </c>
    </row>
    <row r="121" spans="2:9" x14ac:dyDescent="0.25">
      <c r="B121" s="157" t="s">
        <v>54</v>
      </c>
      <c r="C121" s="176"/>
      <c r="D121" s="176"/>
      <c r="E121" s="176"/>
      <c r="F121" s="176"/>
      <c r="G121" s="176"/>
      <c r="H121" s="177"/>
      <c r="I121" s="177"/>
    </row>
    <row r="122" spans="2:9" x14ac:dyDescent="0.25">
      <c r="B122" s="158" t="s">
        <v>71</v>
      </c>
      <c r="C122" s="178">
        <v>19039</v>
      </c>
      <c r="D122" s="178">
        <v>24713</v>
      </c>
      <c r="E122" s="178">
        <v>21639</v>
      </c>
      <c r="F122" s="178">
        <v>25345</v>
      </c>
      <c r="G122" s="178">
        <v>26933</v>
      </c>
      <c r="H122" s="179">
        <f t="shared" ref="H122:H134" si="18">IFERROR(G122/F122-1,"-")</f>
        <v>6.2655356086013025E-2</v>
      </c>
      <c r="I122" s="179">
        <f t="shared" ref="I122:I134" si="19">G122/G$10</f>
        <v>5.2478469272436774E-2</v>
      </c>
    </row>
    <row r="123" spans="2:9" x14ac:dyDescent="0.25">
      <c r="B123" s="161" t="s">
        <v>100</v>
      </c>
      <c r="C123" s="162">
        <v>10127</v>
      </c>
      <c r="D123" s="162">
        <v>11037</v>
      </c>
      <c r="E123" s="162">
        <v>10903</v>
      </c>
      <c r="F123" s="162">
        <v>13443</v>
      </c>
      <c r="G123" s="162">
        <v>13750</v>
      </c>
      <c r="H123" s="163">
        <f t="shared" si="18"/>
        <v>2.283716432343974E-2</v>
      </c>
      <c r="I123" s="163">
        <f t="shared" si="19"/>
        <v>2.6791629320759128E-2</v>
      </c>
    </row>
    <row r="124" spans="2:9" x14ac:dyDescent="0.25">
      <c r="B124" s="165" t="s">
        <v>106</v>
      </c>
      <c r="C124" s="166">
        <v>5476</v>
      </c>
      <c r="D124" s="166">
        <v>5871</v>
      </c>
      <c r="E124" s="166">
        <v>5317</v>
      </c>
      <c r="F124" s="166">
        <v>7289</v>
      </c>
      <c r="G124" s="166">
        <v>7559</v>
      </c>
      <c r="H124" s="167">
        <f t="shared" si="18"/>
        <v>3.7042118260392387E-2</v>
      </c>
      <c r="I124" s="167">
        <f t="shared" si="19"/>
        <v>1.4728576438954056E-2</v>
      </c>
    </row>
    <row r="125" spans="2:9" x14ac:dyDescent="0.25">
      <c r="B125" s="165" t="s">
        <v>103</v>
      </c>
      <c r="C125" s="166">
        <v>4651</v>
      </c>
      <c r="D125" s="166">
        <v>5166</v>
      </c>
      <c r="E125" s="166">
        <v>5586</v>
      </c>
      <c r="F125" s="166">
        <v>6154</v>
      </c>
      <c r="G125" s="166">
        <v>6191</v>
      </c>
      <c r="H125" s="167">
        <f t="shared" si="18"/>
        <v>6.0123496912576346E-3</v>
      </c>
      <c r="I125" s="167">
        <f t="shared" si="19"/>
        <v>1.2063052881805075E-2</v>
      </c>
    </row>
    <row r="126" spans="2:9" x14ac:dyDescent="0.25">
      <c r="B126" s="161" t="s">
        <v>110</v>
      </c>
      <c r="C126" s="162">
        <v>8912</v>
      </c>
      <c r="D126" s="162">
        <v>13676</v>
      </c>
      <c r="E126" s="162">
        <v>10736</v>
      </c>
      <c r="F126" s="162">
        <v>11902</v>
      </c>
      <c r="G126" s="162">
        <v>13183</v>
      </c>
      <c r="H126" s="163">
        <f t="shared" si="18"/>
        <v>0.10762896992102178</v>
      </c>
      <c r="I126" s="163">
        <f t="shared" si="19"/>
        <v>2.5686839951677642E-2</v>
      </c>
    </row>
    <row r="127" spans="2:9" x14ac:dyDescent="0.25">
      <c r="B127" s="165" t="s">
        <v>113</v>
      </c>
      <c r="C127" s="166">
        <v>736</v>
      </c>
      <c r="D127" s="166">
        <v>1377</v>
      </c>
      <c r="E127" s="166">
        <v>1218</v>
      </c>
      <c r="F127" s="166">
        <v>1253</v>
      </c>
      <c r="G127" s="166">
        <v>1179</v>
      </c>
      <c r="H127" s="167">
        <f t="shared" si="18"/>
        <v>-5.9058260175578581E-2</v>
      </c>
      <c r="I127" s="167">
        <f t="shared" si="19"/>
        <v>2.297260434121819E-3</v>
      </c>
    </row>
    <row r="128" spans="2:9" x14ac:dyDescent="0.25">
      <c r="B128" s="165" t="s">
        <v>116</v>
      </c>
      <c r="C128" s="166">
        <v>1499</v>
      </c>
      <c r="D128" s="166">
        <v>2104</v>
      </c>
      <c r="E128" s="166">
        <v>1962</v>
      </c>
      <c r="F128" s="166">
        <v>1950</v>
      </c>
      <c r="G128" s="166">
        <v>2723</v>
      </c>
      <c r="H128" s="167">
        <f t="shared" si="18"/>
        <v>0.39641025641025651</v>
      </c>
      <c r="I128" s="167">
        <f t="shared" si="19"/>
        <v>5.3057168465765166E-3</v>
      </c>
    </row>
    <row r="129" spans="2:9" x14ac:dyDescent="0.25">
      <c r="B129" s="165" t="s">
        <v>119</v>
      </c>
      <c r="C129" s="166">
        <v>772</v>
      </c>
      <c r="D129" s="166">
        <v>1043</v>
      </c>
      <c r="E129" s="166">
        <v>765</v>
      </c>
      <c r="F129" s="166">
        <v>903</v>
      </c>
      <c r="G129" s="166">
        <v>1002</v>
      </c>
      <c r="H129" s="167">
        <f t="shared" si="18"/>
        <v>0.10963455149501655</v>
      </c>
      <c r="I129" s="167">
        <f t="shared" si="19"/>
        <v>1.9523790966836834E-3</v>
      </c>
    </row>
    <row r="130" spans="2:9" x14ac:dyDescent="0.25">
      <c r="B130" s="165" t="s">
        <v>126</v>
      </c>
      <c r="C130" s="166">
        <v>270</v>
      </c>
      <c r="D130" s="166">
        <v>311</v>
      </c>
      <c r="E130" s="166">
        <v>320</v>
      </c>
      <c r="F130" s="166">
        <v>252</v>
      </c>
      <c r="G130" s="166">
        <v>308</v>
      </c>
      <c r="H130" s="167">
        <f t="shared" si="18"/>
        <v>0.22222222222222232</v>
      </c>
      <c r="I130" s="167">
        <f t="shared" si="19"/>
        <v>6.0013249678500448E-4</v>
      </c>
    </row>
    <row r="131" spans="2:9" x14ac:dyDescent="0.25">
      <c r="B131" s="165" t="s">
        <v>122</v>
      </c>
      <c r="C131" s="166">
        <v>206</v>
      </c>
      <c r="D131" s="166">
        <v>295</v>
      </c>
      <c r="E131" s="166">
        <v>245</v>
      </c>
      <c r="F131" s="166">
        <v>320</v>
      </c>
      <c r="G131" s="166">
        <v>316</v>
      </c>
      <c r="H131" s="167">
        <f t="shared" si="18"/>
        <v>-1.2499999999999956E-2</v>
      </c>
      <c r="I131" s="167">
        <f t="shared" si="19"/>
        <v>6.1572035384435523E-4</v>
      </c>
    </row>
    <row r="132" spans="2:9" x14ac:dyDescent="0.25">
      <c r="B132" s="165" t="s">
        <v>131</v>
      </c>
      <c r="C132" s="166">
        <v>185</v>
      </c>
      <c r="D132" s="166">
        <v>174</v>
      </c>
      <c r="E132" s="166">
        <v>200</v>
      </c>
      <c r="F132" s="166">
        <v>161</v>
      </c>
      <c r="G132" s="166">
        <v>157</v>
      </c>
      <c r="H132" s="167">
        <f t="shared" si="18"/>
        <v>-2.4844720496894457E-2</v>
      </c>
      <c r="I132" s="167">
        <f t="shared" si="19"/>
        <v>3.0591169478975879E-4</v>
      </c>
    </row>
    <row r="133" spans="2:9" x14ac:dyDescent="0.25">
      <c r="B133" s="165" t="s">
        <v>134</v>
      </c>
      <c r="C133" s="166">
        <v>330</v>
      </c>
      <c r="D133" s="166">
        <v>359</v>
      </c>
      <c r="E133" s="166">
        <v>370</v>
      </c>
      <c r="F133" s="166">
        <v>471</v>
      </c>
      <c r="G133" s="166">
        <v>387</v>
      </c>
      <c r="H133" s="167">
        <f t="shared" si="18"/>
        <v>-0.17834394904458595</v>
      </c>
      <c r="I133" s="167">
        <f t="shared" si="19"/>
        <v>7.5406258524609335E-4</v>
      </c>
    </row>
    <row r="134" spans="2:9" x14ac:dyDescent="0.25">
      <c r="B134" s="170" t="s">
        <v>148</v>
      </c>
      <c r="C134" s="171">
        <f>C126-SUM(C127:C133)</f>
        <v>4914</v>
      </c>
      <c r="D134" s="171">
        <f>D126-SUM(D127:D133)</f>
        <v>8013</v>
      </c>
      <c r="E134" s="171">
        <f>E126-SUM(E127:E133)</f>
        <v>5656</v>
      </c>
      <c r="F134" s="171">
        <f>F126-SUM(F127:F133)</f>
        <v>6592</v>
      </c>
      <c r="G134" s="171">
        <f>G126-SUM(G127:G133)</f>
        <v>7111</v>
      </c>
      <c r="H134" s="172">
        <f t="shared" si="18"/>
        <v>7.8731796116504826E-2</v>
      </c>
      <c r="I134" s="172">
        <f t="shared" si="19"/>
        <v>1.3855656443630411E-2</v>
      </c>
    </row>
    <row r="135" spans="2:9" x14ac:dyDescent="0.25">
      <c r="B135" s="157" t="s">
        <v>55</v>
      </c>
      <c r="C135" s="176"/>
      <c r="D135" s="176"/>
      <c r="E135" s="176"/>
      <c r="F135" s="176"/>
      <c r="G135" s="176"/>
      <c r="H135" s="177"/>
      <c r="I135" s="177"/>
    </row>
    <row r="136" spans="2:9" x14ac:dyDescent="0.25">
      <c r="B136" s="158" t="s">
        <v>71</v>
      </c>
      <c r="C136" s="178">
        <v>22793</v>
      </c>
      <c r="D136" s="178">
        <v>26785</v>
      </c>
      <c r="E136" s="178">
        <v>28220</v>
      </c>
      <c r="F136" s="178">
        <v>27164</v>
      </c>
      <c r="G136" s="178">
        <v>28492</v>
      </c>
      <c r="H136" s="179">
        <f t="shared" ref="H136:H148" si="20">IFERROR(G136/F136-1,"-")</f>
        <v>4.8888234427919341E-2</v>
      </c>
      <c r="I136" s="179">
        <f t="shared" ref="I136:I148" si="21">G136/G$10</f>
        <v>5.5516152916877753E-2</v>
      </c>
    </row>
    <row r="137" spans="2:9" x14ac:dyDescent="0.25">
      <c r="B137" s="161" t="s">
        <v>100</v>
      </c>
      <c r="C137" s="162">
        <v>2108</v>
      </c>
      <c r="D137" s="162">
        <v>1913</v>
      </c>
      <c r="E137" s="162">
        <v>2012</v>
      </c>
      <c r="F137" s="162">
        <v>1535</v>
      </c>
      <c r="G137" s="162">
        <v>2172</v>
      </c>
      <c r="H137" s="163">
        <f t="shared" si="20"/>
        <v>0.41498371335504891</v>
      </c>
      <c r="I137" s="163">
        <f t="shared" si="21"/>
        <v>4.2321031916137328E-3</v>
      </c>
    </row>
    <row r="138" spans="2:9" x14ac:dyDescent="0.25">
      <c r="B138" s="165" t="s">
        <v>106</v>
      </c>
      <c r="C138" s="166">
        <v>1361</v>
      </c>
      <c r="D138" s="166">
        <v>1032</v>
      </c>
      <c r="E138" s="166">
        <v>957</v>
      </c>
      <c r="F138" s="166">
        <v>458</v>
      </c>
      <c r="G138" s="166">
        <v>978</v>
      </c>
      <c r="H138" s="167">
        <f t="shared" si="20"/>
        <v>1.1353711790393013</v>
      </c>
      <c r="I138" s="167">
        <f t="shared" si="21"/>
        <v>1.905615525505631E-3</v>
      </c>
    </row>
    <row r="139" spans="2:9" x14ac:dyDescent="0.25">
      <c r="B139" s="165" t="s">
        <v>103</v>
      </c>
      <c r="C139" s="166">
        <v>747</v>
      </c>
      <c r="D139" s="166">
        <v>881</v>
      </c>
      <c r="E139" s="166">
        <v>1055</v>
      </c>
      <c r="F139" s="166">
        <v>1077</v>
      </c>
      <c r="G139" s="166">
        <v>1194</v>
      </c>
      <c r="H139" s="167">
        <f t="shared" si="20"/>
        <v>0.10863509749303613</v>
      </c>
      <c r="I139" s="167">
        <f t="shared" si="21"/>
        <v>2.3264876661081017E-3</v>
      </c>
    </row>
    <row r="140" spans="2:9" x14ac:dyDescent="0.25">
      <c r="B140" s="161" t="s">
        <v>110</v>
      </c>
      <c r="C140" s="162">
        <v>20685</v>
      </c>
      <c r="D140" s="162">
        <v>24872</v>
      </c>
      <c r="E140" s="162">
        <v>26208</v>
      </c>
      <c r="F140" s="162">
        <v>25629</v>
      </c>
      <c r="G140" s="162">
        <v>26320</v>
      </c>
      <c r="H140" s="163">
        <f t="shared" si="20"/>
        <v>2.6961645011510438E-2</v>
      </c>
      <c r="I140" s="163">
        <f t="shared" si="21"/>
        <v>5.1284049725264021E-2</v>
      </c>
    </row>
    <row r="141" spans="2:9" x14ac:dyDescent="0.25">
      <c r="B141" s="165" t="s">
        <v>113</v>
      </c>
      <c r="C141" s="166">
        <v>6882</v>
      </c>
      <c r="D141" s="166">
        <v>9569</v>
      </c>
      <c r="E141" s="166">
        <v>9971</v>
      </c>
      <c r="F141" s="166">
        <v>10775</v>
      </c>
      <c r="G141" s="166">
        <v>10273</v>
      </c>
      <c r="H141" s="167">
        <f t="shared" si="20"/>
        <v>-4.65893271461717E-2</v>
      </c>
      <c r="I141" s="167">
        <f t="shared" si="21"/>
        <v>2.0016756946338803E-2</v>
      </c>
    </row>
    <row r="142" spans="2:9" x14ac:dyDescent="0.25">
      <c r="B142" s="165" t="s">
        <v>116</v>
      </c>
      <c r="C142" s="166">
        <v>1985</v>
      </c>
      <c r="D142" s="166">
        <v>2131</v>
      </c>
      <c r="E142" s="166">
        <v>2342</v>
      </c>
      <c r="F142" s="166">
        <v>2175</v>
      </c>
      <c r="G142" s="166">
        <v>2470</v>
      </c>
      <c r="H142" s="167">
        <f t="shared" si="20"/>
        <v>0.13563218390804588</v>
      </c>
      <c r="I142" s="167">
        <f t="shared" si="21"/>
        <v>4.8127508670745486E-3</v>
      </c>
    </row>
    <row r="143" spans="2:9" x14ac:dyDescent="0.25">
      <c r="B143" s="165" t="s">
        <v>119</v>
      </c>
      <c r="C143" s="166">
        <v>2156</v>
      </c>
      <c r="D143" s="166">
        <v>2160</v>
      </c>
      <c r="E143" s="166">
        <v>2089</v>
      </c>
      <c r="F143" s="166">
        <v>1603</v>
      </c>
      <c r="G143" s="166">
        <v>1985</v>
      </c>
      <c r="H143" s="167">
        <f t="shared" si="20"/>
        <v>0.2383031815346226</v>
      </c>
      <c r="I143" s="167">
        <f t="shared" si="21"/>
        <v>3.8677370328514087E-3</v>
      </c>
    </row>
    <row r="144" spans="2:9" x14ac:dyDescent="0.25">
      <c r="B144" s="165" t="s">
        <v>126</v>
      </c>
      <c r="C144" s="166">
        <v>972</v>
      </c>
      <c r="D144" s="166">
        <v>719</v>
      </c>
      <c r="E144" s="166">
        <v>855</v>
      </c>
      <c r="F144" s="166">
        <v>591</v>
      </c>
      <c r="G144" s="166">
        <v>561</v>
      </c>
      <c r="H144" s="167">
        <f t="shared" si="20"/>
        <v>-5.0761421319796995E-2</v>
      </c>
      <c r="I144" s="167">
        <f t="shared" si="21"/>
        <v>1.0930984762869723E-3</v>
      </c>
    </row>
    <row r="145" spans="2:9" x14ac:dyDescent="0.25">
      <c r="B145" s="165" t="s">
        <v>122</v>
      </c>
      <c r="C145" s="166">
        <v>624</v>
      </c>
      <c r="D145" s="166">
        <v>523</v>
      </c>
      <c r="E145" s="166">
        <v>595</v>
      </c>
      <c r="F145" s="166">
        <v>571</v>
      </c>
      <c r="G145" s="166">
        <v>611</v>
      </c>
      <c r="H145" s="167">
        <f t="shared" si="20"/>
        <v>7.0052539404553471E-2</v>
      </c>
      <c r="I145" s="167">
        <f t="shared" si="21"/>
        <v>1.1905225829079147E-3</v>
      </c>
    </row>
    <row r="146" spans="2:9" x14ac:dyDescent="0.25">
      <c r="B146" s="165" t="s">
        <v>131</v>
      </c>
      <c r="C146" s="166">
        <v>611</v>
      </c>
      <c r="D146" s="166">
        <v>685</v>
      </c>
      <c r="E146" s="166">
        <v>741</v>
      </c>
      <c r="F146" s="166">
        <v>728</v>
      </c>
      <c r="G146" s="166">
        <v>584</v>
      </c>
      <c r="H146" s="167">
        <f t="shared" si="20"/>
        <v>-0.19780219780219777</v>
      </c>
      <c r="I146" s="167">
        <f t="shared" si="21"/>
        <v>1.137913565332606E-3</v>
      </c>
    </row>
    <row r="147" spans="2:9" x14ac:dyDescent="0.25">
      <c r="B147" s="165" t="s">
        <v>134</v>
      </c>
      <c r="C147" s="166">
        <v>434</v>
      </c>
      <c r="D147" s="166">
        <v>704</v>
      </c>
      <c r="E147" s="166">
        <v>710</v>
      </c>
      <c r="F147" s="166">
        <v>580</v>
      </c>
      <c r="G147" s="166">
        <v>563</v>
      </c>
      <c r="H147" s="167">
        <f t="shared" si="20"/>
        <v>-2.931034482758621E-2</v>
      </c>
      <c r="I147" s="167">
        <f t="shared" si="21"/>
        <v>1.0969954405518102E-3</v>
      </c>
    </row>
    <row r="148" spans="2:9" x14ac:dyDescent="0.25">
      <c r="B148" s="170" t="s">
        <v>148</v>
      </c>
      <c r="C148" s="171">
        <f>C140-SUM(C141:C147)</f>
        <v>7021</v>
      </c>
      <c r="D148" s="171">
        <f>D140-SUM(D141:D147)</f>
        <v>8381</v>
      </c>
      <c r="E148" s="171">
        <f>E140-SUM(E141:E147)</f>
        <v>8905</v>
      </c>
      <c r="F148" s="171">
        <f>F140-SUM(F141:F147)</f>
        <v>8606</v>
      </c>
      <c r="G148" s="171">
        <f>G140-SUM(G141:G147)</f>
        <v>9273</v>
      </c>
      <c r="H148" s="172">
        <f t="shared" si="20"/>
        <v>7.7504066930048854E-2</v>
      </c>
      <c r="I148" s="172">
        <f t="shared" si="21"/>
        <v>1.8068274813919958E-2</v>
      </c>
    </row>
    <row r="149" spans="2:9" x14ac:dyDescent="0.25">
      <c r="B149" s="157" t="s">
        <v>56</v>
      </c>
      <c r="C149" s="176"/>
      <c r="D149" s="176"/>
      <c r="E149" s="176"/>
      <c r="F149" s="176"/>
      <c r="G149" s="176"/>
      <c r="H149" s="177"/>
      <c r="I149" s="177"/>
    </row>
    <row r="150" spans="2:9" x14ac:dyDescent="0.25">
      <c r="B150" s="158" t="s">
        <v>71</v>
      </c>
      <c r="C150" s="178">
        <v>10129</v>
      </c>
      <c r="D150" s="178">
        <v>12010</v>
      </c>
      <c r="E150" s="178">
        <v>12675</v>
      </c>
      <c r="F150" s="178">
        <v>11732</v>
      </c>
      <c r="G150" s="178">
        <v>9493</v>
      </c>
      <c r="H150" s="179">
        <f t="shared" ref="H150:H162" si="22">IFERROR(G150/F150-1,"-")</f>
        <v>-0.19084555063075348</v>
      </c>
      <c r="I150" s="179">
        <f t="shared" ref="I150:I162" si="23">G150/G$10</f>
        <v>1.8496940883052104E-2</v>
      </c>
    </row>
    <row r="151" spans="2:9" x14ac:dyDescent="0.25">
      <c r="B151" s="161" t="s">
        <v>100</v>
      </c>
      <c r="C151" s="162">
        <v>3984</v>
      </c>
      <c r="D151" s="162">
        <v>4831</v>
      </c>
      <c r="E151" s="162">
        <v>4436</v>
      </c>
      <c r="F151" s="162">
        <v>3782</v>
      </c>
      <c r="G151" s="162">
        <v>2512</v>
      </c>
      <c r="H151" s="163">
        <f t="shared" si="22"/>
        <v>-0.33580116340560551</v>
      </c>
      <c r="I151" s="163">
        <f t="shared" si="23"/>
        <v>4.8945871166361406E-3</v>
      </c>
    </row>
    <row r="152" spans="2:9" x14ac:dyDescent="0.25">
      <c r="B152" s="165" t="s">
        <v>106</v>
      </c>
      <c r="C152" s="166">
        <v>3159</v>
      </c>
      <c r="D152" s="166">
        <v>3383</v>
      </c>
      <c r="E152" s="166">
        <v>3365</v>
      </c>
      <c r="F152" s="166">
        <v>2617</v>
      </c>
      <c r="G152" s="166">
        <v>1199</v>
      </c>
      <c r="H152" s="167">
        <f t="shared" si="22"/>
        <v>-0.54184180359189904</v>
      </c>
      <c r="I152" s="167">
        <f t="shared" si="23"/>
        <v>2.336230076770196E-3</v>
      </c>
    </row>
    <row r="153" spans="2:9" x14ac:dyDescent="0.25">
      <c r="B153" s="165" t="s">
        <v>103</v>
      </c>
      <c r="C153" s="166">
        <v>825</v>
      </c>
      <c r="D153" s="166">
        <v>1448</v>
      </c>
      <c r="E153" s="166">
        <v>1071</v>
      </c>
      <c r="F153" s="166">
        <v>1165</v>
      </c>
      <c r="G153" s="166">
        <v>1313</v>
      </c>
      <c r="H153" s="167">
        <f t="shared" si="22"/>
        <v>0.1270386266094421</v>
      </c>
      <c r="I153" s="167">
        <f t="shared" si="23"/>
        <v>2.5583570398659446E-3</v>
      </c>
    </row>
    <row r="154" spans="2:9" x14ac:dyDescent="0.25">
      <c r="B154" s="161" t="s">
        <v>110</v>
      </c>
      <c r="C154" s="162">
        <v>6145</v>
      </c>
      <c r="D154" s="162">
        <v>7179</v>
      </c>
      <c r="E154" s="162">
        <v>8239</v>
      </c>
      <c r="F154" s="162">
        <v>7950</v>
      </c>
      <c r="G154" s="162">
        <v>6981</v>
      </c>
      <c r="H154" s="163">
        <f t="shared" si="22"/>
        <v>-0.12188679245283018</v>
      </c>
      <c r="I154" s="163">
        <f t="shared" si="23"/>
        <v>1.3602353766415961E-2</v>
      </c>
    </row>
    <row r="155" spans="2:9" x14ac:dyDescent="0.25">
      <c r="B155" s="165" t="s">
        <v>113</v>
      </c>
      <c r="C155" s="166">
        <v>1605</v>
      </c>
      <c r="D155" s="166">
        <v>2615</v>
      </c>
      <c r="E155" s="166">
        <v>2396</v>
      </c>
      <c r="F155" s="166">
        <v>1949</v>
      </c>
      <c r="G155" s="166">
        <v>1846</v>
      </c>
      <c r="H155" s="167">
        <f t="shared" si="22"/>
        <v>-5.2847614161108281E-2</v>
      </c>
      <c r="I155" s="167">
        <f t="shared" si="23"/>
        <v>3.5968980164451892E-3</v>
      </c>
    </row>
    <row r="156" spans="2:9" x14ac:dyDescent="0.25">
      <c r="B156" s="165" t="s">
        <v>116</v>
      </c>
      <c r="C156" s="166">
        <v>2110</v>
      </c>
      <c r="D156" s="166">
        <v>1634</v>
      </c>
      <c r="E156" s="166">
        <v>1778</v>
      </c>
      <c r="F156" s="166">
        <v>1737</v>
      </c>
      <c r="G156" s="166">
        <v>1706</v>
      </c>
      <c r="H156" s="167">
        <f t="shared" si="22"/>
        <v>-1.784686240644795E-2</v>
      </c>
      <c r="I156" s="167">
        <f t="shared" si="23"/>
        <v>3.3241105179065509E-3</v>
      </c>
    </row>
    <row r="157" spans="2:9" x14ac:dyDescent="0.25">
      <c r="B157" s="165" t="s">
        <v>119</v>
      </c>
      <c r="C157" s="166">
        <v>556</v>
      </c>
      <c r="D157" s="166">
        <v>961</v>
      </c>
      <c r="E157" s="166">
        <v>1151</v>
      </c>
      <c r="F157" s="166">
        <v>1499</v>
      </c>
      <c r="G157" s="166">
        <v>1049</v>
      </c>
      <c r="H157" s="167">
        <f t="shared" si="22"/>
        <v>-0.30020013342228147</v>
      </c>
      <c r="I157" s="167">
        <f t="shared" si="23"/>
        <v>2.0439577569073691E-3</v>
      </c>
    </row>
    <row r="158" spans="2:9" x14ac:dyDescent="0.25">
      <c r="B158" s="165" t="s">
        <v>126</v>
      </c>
      <c r="C158" s="166">
        <v>152</v>
      </c>
      <c r="D158" s="166">
        <v>231</v>
      </c>
      <c r="E158" s="166">
        <v>302</v>
      </c>
      <c r="F158" s="166">
        <v>264</v>
      </c>
      <c r="G158" s="166">
        <v>299</v>
      </c>
      <c r="H158" s="167">
        <f t="shared" si="22"/>
        <v>0.13257575757575757</v>
      </c>
      <c r="I158" s="167">
        <f t="shared" si="23"/>
        <v>5.8259615759323491E-4</v>
      </c>
    </row>
    <row r="159" spans="2:9" x14ac:dyDescent="0.25">
      <c r="B159" s="165" t="s">
        <v>122</v>
      </c>
      <c r="C159" s="166">
        <v>308</v>
      </c>
      <c r="D159" s="166">
        <v>226</v>
      </c>
      <c r="E159" s="166">
        <v>266</v>
      </c>
      <c r="F159" s="166">
        <v>303</v>
      </c>
      <c r="G159" s="166">
        <v>243</v>
      </c>
      <c r="H159" s="167">
        <f t="shared" si="22"/>
        <v>-0.19801980198019797</v>
      </c>
      <c r="I159" s="167">
        <f t="shared" si="23"/>
        <v>4.7348115817777951E-4</v>
      </c>
    </row>
    <row r="160" spans="2:9" x14ac:dyDescent="0.25">
      <c r="B160" s="165" t="s">
        <v>131</v>
      </c>
      <c r="C160" s="166">
        <v>63</v>
      </c>
      <c r="D160" s="166">
        <v>84</v>
      </c>
      <c r="E160" s="166">
        <v>145</v>
      </c>
      <c r="F160" s="166">
        <v>109</v>
      </c>
      <c r="G160" s="166">
        <v>58</v>
      </c>
      <c r="H160" s="167">
        <f t="shared" si="22"/>
        <v>-0.4678899082568807</v>
      </c>
      <c r="I160" s="167">
        <f t="shared" si="23"/>
        <v>1.1301196368029305E-4</v>
      </c>
    </row>
    <row r="161" spans="2:9" x14ac:dyDescent="0.25">
      <c r="B161" s="165" t="s">
        <v>134</v>
      </c>
      <c r="C161" s="166">
        <v>159</v>
      </c>
      <c r="D161" s="166">
        <v>110</v>
      </c>
      <c r="E161" s="166">
        <v>211</v>
      </c>
      <c r="F161" s="166">
        <v>178</v>
      </c>
      <c r="G161" s="166">
        <v>123</v>
      </c>
      <c r="H161" s="167">
        <f t="shared" si="22"/>
        <v>-0.3089887640449438</v>
      </c>
      <c r="I161" s="167">
        <f t="shared" si="23"/>
        <v>2.3966330228751803E-4</v>
      </c>
    </row>
    <row r="162" spans="2:9" x14ac:dyDescent="0.25">
      <c r="B162" s="170" t="s">
        <v>148</v>
      </c>
      <c r="C162" s="171">
        <f>C154-SUM(C155:C161)</f>
        <v>1192</v>
      </c>
      <c r="D162" s="171">
        <f>D154-SUM(D155:D161)</f>
        <v>1318</v>
      </c>
      <c r="E162" s="171">
        <f>E154-SUM(E155:E161)</f>
        <v>1990</v>
      </c>
      <c r="F162" s="171">
        <f>F154-SUM(F155:F161)</f>
        <v>1911</v>
      </c>
      <c r="G162" s="171">
        <f>G154-SUM(G155:G161)</f>
        <v>1657</v>
      </c>
      <c r="H162" s="172">
        <f t="shared" si="22"/>
        <v>-0.13291470434327579</v>
      </c>
      <c r="I162" s="172">
        <f t="shared" si="23"/>
        <v>3.2286348934180273E-3</v>
      </c>
    </row>
    <row r="163" spans="2:9" x14ac:dyDescent="0.25">
      <c r="C163" s="81"/>
      <c r="D163" s="81"/>
      <c r="E163" s="81"/>
      <c r="F163" s="81"/>
      <c r="G163" s="81"/>
      <c r="H163" s="81"/>
    </row>
    <row r="164" spans="2:9" x14ac:dyDescent="0.25">
      <c r="B164" s="107" t="s">
        <v>58</v>
      </c>
      <c r="C164" s="107"/>
      <c r="D164" s="107"/>
      <c r="E164" s="107"/>
      <c r="F164" s="107"/>
      <c r="G164" s="107"/>
      <c r="H164" s="107"/>
      <c r="I164" s="107"/>
    </row>
  </sheetData>
  <mergeCells count="3">
    <mergeCell ref="B5:I5"/>
    <mergeCell ref="K5:R5"/>
    <mergeCell ref="C7:I7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03474-45EE-46CC-B64D-1FD8317ACB75}">
  <sheetPr>
    <tabColor rgb="FFFFC000"/>
    <pageSetUpPr fitToPage="1"/>
  </sheetPr>
  <dimension ref="A1:X163"/>
  <sheetViews>
    <sheetView showGridLines="0" zoomScaleNormal="10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3" customWidth="1"/>
    <col min="10" max="10" width="10.5703125" customWidth="1"/>
    <col min="11" max="11" width="11.5703125" customWidth="1"/>
    <col min="12" max="12" width="10.5703125" customWidth="1"/>
    <col min="14" max="14" width="11.42578125" customWidth="1"/>
    <col min="15" max="24" width="11.42578125" hidden="1" customWidth="1"/>
  </cols>
  <sheetData>
    <row r="1" spans="1:24" ht="42.75" customHeight="1" x14ac:dyDescent="0.25"/>
    <row r="4" spans="1:24" ht="42" customHeight="1" thickBot="1" x14ac:dyDescent="0.3">
      <c r="B4" s="283" t="str">
        <f>CONCATENATE("Viajeros alojados en los establecimientos alojativos de Tenerife según lugar de residencia y municipio de alojamiento (hotel + apartamento)")</f>
        <v>Viajeros alojados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O4" s="283" t="s">
        <v>275</v>
      </c>
      <c r="P4" s="283"/>
      <c r="Q4" s="283"/>
      <c r="R4" s="283"/>
      <c r="S4" s="283"/>
      <c r="T4" s="283"/>
      <c r="U4" s="283"/>
      <c r="V4" s="283"/>
      <c r="W4" s="283"/>
      <c r="X4" s="283"/>
    </row>
    <row r="5" spans="1:24" ht="6" customHeight="1" x14ac:dyDescent="0.25"/>
    <row r="6" spans="1:24" ht="15.75" x14ac:dyDescent="0.25">
      <c r="B6" s="147"/>
      <c r="C6" s="313" t="s">
        <v>46</v>
      </c>
      <c r="D6" s="314"/>
      <c r="E6" s="314"/>
      <c r="F6" s="314"/>
      <c r="G6" s="314"/>
      <c r="H6" s="314"/>
      <c r="I6" s="314"/>
      <c r="J6" s="314"/>
      <c r="K6" s="314"/>
      <c r="L6" s="314"/>
    </row>
    <row r="7" spans="1:24" s="148" customFormat="1" ht="72" customHeight="1" x14ac:dyDescent="0.25">
      <c r="B7" s="149"/>
      <c r="C7" s="174" t="s">
        <v>276</v>
      </c>
      <c r="D7" s="174" t="s">
        <v>267</v>
      </c>
      <c r="E7" s="174" t="s">
        <v>268</v>
      </c>
      <c r="F7" s="174" t="s">
        <v>269</v>
      </c>
      <c r="G7" s="174" t="s">
        <v>270</v>
      </c>
      <c r="H7" s="174" t="s">
        <v>271</v>
      </c>
      <c r="I7" s="174" t="s">
        <v>272</v>
      </c>
      <c r="J7" s="175" t="str">
        <f>CONCATENATE("var. ",RIGHT(I7,2),"/",RIGHT(H7,2))</f>
        <v>var. 25/24</v>
      </c>
      <c r="K7" s="174" t="str">
        <f>CONCATENATE("dif. ",RIGHT(I7,2),"/",RIGHT(H7,2))</f>
        <v>dif. 25/24</v>
      </c>
      <c r="L7" s="175" t="str">
        <f>CONCATENATE("Cuota s/ total lugares de residencia ",RIGHT(I7,4))</f>
        <v>Cuota s/ total lugares de residencia 2025</v>
      </c>
      <c r="O7" s="149"/>
      <c r="P7" s="174" t="s">
        <v>267</v>
      </c>
      <c r="Q7" s="174" t="s">
        <v>268</v>
      </c>
      <c r="R7" s="174" t="s">
        <v>269</v>
      </c>
      <c r="S7" s="174" t="s">
        <v>270</v>
      </c>
      <c r="T7" s="174" t="s">
        <v>271</v>
      </c>
      <c r="U7" s="174" t="s">
        <v>272</v>
      </c>
      <c r="V7" s="175" t="str">
        <f>CONCATENATE("var. ",RIGHT(U7,2),"/",RIGHT(T7,2))</f>
        <v>var. 25/24</v>
      </c>
      <c r="W7" s="174" t="str">
        <f>CONCATENATE("dif. ",RIGHT(U7,2),"/",RIGHT(T7,2))</f>
        <v>dif. 25/24</v>
      </c>
      <c r="X7" s="175" t="str">
        <f>CONCATENATE("Cuota s/ total lugares de residencia ",RIGHT(U7,4))</f>
        <v>Cuota s/ total lugares de residencia 2025</v>
      </c>
    </row>
    <row r="8" spans="1:24" x14ac:dyDescent="0.25">
      <c r="A8" s="1"/>
      <c r="B8" s="154" t="s">
        <v>46</v>
      </c>
      <c r="C8" s="155"/>
      <c r="D8" s="155"/>
      <c r="E8" s="155"/>
      <c r="F8" s="155"/>
      <c r="G8" s="155"/>
      <c r="H8" s="155"/>
      <c r="I8" s="156"/>
      <c r="J8" s="156"/>
      <c r="K8" s="156"/>
      <c r="L8" s="155"/>
      <c r="O8" s="157" t="s">
        <v>48</v>
      </c>
      <c r="P8" s="155"/>
      <c r="Q8" s="155"/>
      <c r="R8" s="155"/>
      <c r="S8" s="155"/>
      <c r="T8" s="155"/>
      <c r="U8" s="156"/>
      <c r="V8" s="156"/>
      <c r="W8" s="156"/>
      <c r="X8" s="155"/>
    </row>
    <row r="9" spans="1:24" x14ac:dyDescent="0.25">
      <c r="A9" s="1"/>
      <c r="B9" s="158" t="s">
        <v>71</v>
      </c>
      <c r="C9" s="178">
        <v>4924849</v>
      </c>
      <c r="D9" s="178">
        <v>1663755</v>
      </c>
      <c r="E9" s="178">
        <v>2347681</v>
      </c>
      <c r="F9" s="178">
        <v>4832844</v>
      </c>
      <c r="G9" s="178">
        <v>5281667</v>
      </c>
      <c r="H9" s="178">
        <v>5579982</v>
      </c>
      <c r="I9" s="178">
        <v>5548336</v>
      </c>
      <c r="J9" s="179">
        <f>IFERROR(I9/H9-1,"-")</f>
        <v>-5.6713444595341E-3</v>
      </c>
      <c r="K9" s="178">
        <f t="shared" ref="K9:K21" si="0">I9-H9</f>
        <v>-31646</v>
      </c>
      <c r="L9" s="179">
        <f t="shared" ref="L9:L21" si="1">I9/I$9</f>
        <v>1</v>
      </c>
      <c r="O9" s="158" t="s">
        <v>71</v>
      </c>
      <c r="P9" s="178">
        <v>445300</v>
      </c>
      <c r="Q9" s="178">
        <v>575244</v>
      </c>
      <c r="R9" s="178">
        <v>1484581</v>
      </c>
      <c r="S9" s="178">
        <v>1593854</v>
      </c>
      <c r="T9" s="178">
        <v>1657303</v>
      </c>
      <c r="U9" s="178">
        <v>1697029</v>
      </c>
      <c r="V9" s="179">
        <f>IFERROR(U9/T9-1,"-")</f>
        <v>2.3970269769619579E-2</v>
      </c>
      <c r="W9" s="178">
        <f>U9-T9</f>
        <v>39726</v>
      </c>
      <c r="X9" s="179">
        <f t="shared" ref="X9:X21" si="2">U9/U$9</f>
        <v>1</v>
      </c>
    </row>
    <row r="10" spans="1:24" x14ac:dyDescent="0.25">
      <c r="A10" s="1" t="s">
        <v>99</v>
      </c>
      <c r="B10" s="161" t="s">
        <v>100</v>
      </c>
      <c r="C10" s="162">
        <v>1056713</v>
      </c>
      <c r="D10" s="162">
        <v>467554</v>
      </c>
      <c r="E10" s="162">
        <v>802516</v>
      </c>
      <c r="F10" s="162">
        <v>1024864</v>
      </c>
      <c r="G10" s="162">
        <v>1053374</v>
      </c>
      <c r="H10" s="162">
        <v>1068186</v>
      </c>
      <c r="I10" s="162">
        <v>1077039</v>
      </c>
      <c r="J10" s="180">
        <f>IFERROR(I10/H10-1,"-")</f>
        <v>8.2878824474388324E-3</v>
      </c>
      <c r="K10" s="161">
        <f t="shared" si="0"/>
        <v>8853</v>
      </c>
      <c r="L10" s="163">
        <f t="shared" si="1"/>
        <v>0.19411928188920066</v>
      </c>
      <c r="O10" s="161" t="s">
        <v>100</v>
      </c>
      <c r="P10" s="162">
        <v>53176</v>
      </c>
      <c r="Q10" s="162">
        <v>90495</v>
      </c>
      <c r="R10" s="162">
        <v>134566</v>
      </c>
      <c r="S10" s="162">
        <v>133177</v>
      </c>
      <c r="T10" s="162">
        <v>128425</v>
      </c>
      <c r="U10" s="162">
        <v>131945</v>
      </c>
      <c r="V10" s="180">
        <f>IFERROR(U10/T10-1,"-")</f>
        <v>2.7408993576017116E-2</v>
      </c>
      <c r="W10" s="161">
        <f t="shared" ref="W10:W20" si="3">U10-T10</f>
        <v>3520</v>
      </c>
      <c r="X10" s="163">
        <f t="shared" si="2"/>
        <v>7.7750586466112243E-2</v>
      </c>
    </row>
    <row r="11" spans="1:24" x14ac:dyDescent="0.25">
      <c r="A11" s="164" t="s">
        <v>106</v>
      </c>
      <c r="B11" s="165" t="s">
        <v>106</v>
      </c>
      <c r="C11" s="166">
        <v>416975</v>
      </c>
      <c r="D11" s="166">
        <v>210583</v>
      </c>
      <c r="E11" s="166">
        <v>417269</v>
      </c>
      <c r="F11" s="166">
        <v>425397</v>
      </c>
      <c r="G11" s="166">
        <v>433319</v>
      </c>
      <c r="H11" s="166">
        <v>424259</v>
      </c>
      <c r="I11" s="166">
        <v>426179</v>
      </c>
      <c r="J11" s="181">
        <f>IFERROR(I11/H11-1,"-")</f>
        <v>4.5255374665003067E-3</v>
      </c>
      <c r="K11" s="165">
        <f t="shared" si="0"/>
        <v>1920</v>
      </c>
      <c r="L11" s="167">
        <f t="shared" si="1"/>
        <v>7.6812038780636208E-2</v>
      </c>
      <c r="O11" s="165" t="s">
        <v>106</v>
      </c>
      <c r="P11" s="166">
        <v>25398</v>
      </c>
      <c r="Q11" s="166">
        <v>46077</v>
      </c>
      <c r="R11" s="166">
        <v>50612</v>
      </c>
      <c r="S11" s="166">
        <v>57387</v>
      </c>
      <c r="T11" s="166">
        <v>56070</v>
      </c>
      <c r="U11" s="166">
        <v>56229</v>
      </c>
      <c r="V11" s="181">
        <f>IFERROR(U11/T11-1,"-")</f>
        <v>2.8357410379882264E-3</v>
      </c>
      <c r="W11" s="165">
        <f t="shared" si="3"/>
        <v>159</v>
      </c>
      <c r="X11" s="167">
        <f t="shared" si="2"/>
        <v>3.3133788520997576E-2</v>
      </c>
    </row>
    <row r="12" spans="1:24" x14ac:dyDescent="0.25">
      <c r="A12" s="164" t="s">
        <v>103</v>
      </c>
      <c r="B12" s="165" t="s">
        <v>103</v>
      </c>
      <c r="C12" s="166">
        <v>639738</v>
      </c>
      <c r="D12" s="166">
        <v>256971</v>
      </c>
      <c r="E12" s="166">
        <v>385247</v>
      </c>
      <c r="F12" s="166">
        <v>599467</v>
      </c>
      <c r="G12" s="166">
        <v>620055</v>
      </c>
      <c r="H12" s="166">
        <v>643927</v>
      </c>
      <c r="I12" s="166">
        <v>650860</v>
      </c>
      <c r="J12" s="181">
        <f>IFERROR(I12/H12-1,"-")</f>
        <v>1.076674840471048E-2</v>
      </c>
      <c r="K12" s="165">
        <f t="shared" si="0"/>
        <v>6933</v>
      </c>
      <c r="L12" s="167">
        <f t="shared" si="1"/>
        <v>0.11730724310856444</v>
      </c>
      <c r="O12" s="165" t="s">
        <v>103</v>
      </c>
      <c r="P12" s="166">
        <v>27778</v>
      </c>
      <c r="Q12" s="166">
        <v>44418</v>
      </c>
      <c r="R12" s="166">
        <v>83954</v>
      </c>
      <c r="S12" s="166">
        <v>75790</v>
      </c>
      <c r="T12" s="166">
        <v>72355</v>
      </c>
      <c r="U12" s="166">
        <v>75716</v>
      </c>
      <c r="V12" s="181">
        <f>IFERROR(U12/T12-1,"-")</f>
        <v>4.6451523737129463E-2</v>
      </c>
      <c r="W12" s="165">
        <f t="shared" si="3"/>
        <v>3361</v>
      </c>
      <c r="X12" s="167">
        <f t="shared" si="2"/>
        <v>4.4616797945114667E-2</v>
      </c>
    </row>
    <row r="13" spans="1:24" x14ac:dyDescent="0.25">
      <c r="A13" s="1"/>
      <c r="B13" s="161" t="s">
        <v>110</v>
      </c>
      <c r="C13" s="162">
        <v>3868136</v>
      </c>
      <c r="D13" s="162">
        <v>1196201</v>
      </c>
      <c r="E13" s="162">
        <v>1545165</v>
      </c>
      <c r="F13" s="162">
        <v>3807980</v>
      </c>
      <c r="G13" s="162">
        <v>4228293</v>
      </c>
      <c r="H13" s="162">
        <v>4511796</v>
      </c>
      <c r="I13" s="162">
        <v>4471297</v>
      </c>
      <c r="J13" s="180">
        <f>IFERROR(I13/H13-1,"-")</f>
        <v>-8.9762480395833011E-3</v>
      </c>
      <c r="K13" s="161">
        <f t="shared" si="0"/>
        <v>-40499</v>
      </c>
      <c r="L13" s="163">
        <f t="shared" si="1"/>
        <v>0.80588071811079931</v>
      </c>
      <c r="O13" s="161" t="s">
        <v>110</v>
      </c>
      <c r="P13" s="162">
        <v>392124</v>
      </c>
      <c r="Q13" s="162">
        <v>484749</v>
      </c>
      <c r="R13" s="162">
        <v>1350015</v>
      </c>
      <c r="S13" s="162">
        <v>1460677</v>
      </c>
      <c r="T13" s="162">
        <v>1528878</v>
      </c>
      <c r="U13" s="162">
        <v>1565084</v>
      </c>
      <c r="V13" s="180">
        <f>IFERROR(U13/T13-1,"-")</f>
        <v>2.3681418661266607E-2</v>
      </c>
      <c r="W13" s="161">
        <f t="shared" si="3"/>
        <v>36206</v>
      </c>
      <c r="X13" s="163">
        <f t="shared" si="2"/>
        <v>0.92224941353388779</v>
      </c>
    </row>
    <row r="14" spans="1:24" s="58" customFormat="1" x14ac:dyDescent="0.25">
      <c r="B14" s="165" t="s">
        <v>113</v>
      </c>
      <c r="C14" s="166">
        <v>1755890</v>
      </c>
      <c r="D14" s="166">
        <v>472688</v>
      </c>
      <c r="E14" s="166">
        <v>448402</v>
      </c>
      <c r="F14" s="166">
        <v>1743899</v>
      </c>
      <c r="G14" s="166">
        <v>1976052</v>
      </c>
      <c r="H14" s="166">
        <v>2113224</v>
      </c>
      <c r="I14" s="166">
        <v>2095622</v>
      </c>
      <c r="J14" s="181">
        <f t="shared" ref="J14:J21" si="4">IFERROR(I14/H14-1,"-")</f>
        <v>-8.3294530064016437E-3</v>
      </c>
      <c r="K14" s="165">
        <f t="shared" si="0"/>
        <v>-17602</v>
      </c>
      <c r="L14" s="167">
        <f t="shared" si="1"/>
        <v>0.37770279233269216</v>
      </c>
      <c r="O14" s="165" t="s">
        <v>113</v>
      </c>
      <c r="P14" s="166">
        <v>179784</v>
      </c>
      <c r="Q14" s="166">
        <v>169285</v>
      </c>
      <c r="R14" s="166">
        <v>698437</v>
      </c>
      <c r="S14" s="166">
        <v>765449</v>
      </c>
      <c r="T14" s="166">
        <v>814767</v>
      </c>
      <c r="U14" s="166">
        <v>822798</v>
      </c>
      <c r="V14" s="181">
        <f t="shared" ref="V14:V21" si="5">IFERROR(U14/T14-1,"-")</f>
        <v>9.8568056880066202E-3</v>
      </c>
      <c r="W14" s="165">
        <f t="shared" si="3"/>
        <v>8031</v>
      </c>
      <c r="X14" s="167">
        <f t="shared" si="2"/>
        <v>0.48484616350103621</v>
      </c>
    </row>
    <row r="15" spans="1:24" s="58" customFormat="1" x14ac:dyDescent="0.25">
      <c r="B15" s="165" t="s">
        <v>116</v>
      </c>
      <c r="C15" s="166">
        <v>504382</v>
      </c>
      <c r="D15" s="166">
        <v>150375</v>
      </c>
      <c r="E15" s="166">
        <v>224169</v>
      </c>
      <c r="F15" s="166">
        <v>395500</v>
      </c>
      <c r="G15" s="166">
        <v>442794</v>
      </c>
      <c r="H15" s="166">
        <v>457911</v>
      </c>
      <c r="I15" s="166">
        <v>453520</v>
      </c>
      <c r="J15" s="181">
        <f t="shared" si="4"/>
        <v>-9.589199647966562E-3</v>
      </c>
      <c r="K15" s="165">
        <f t="shared" si="0"/>
        <v>-4391</v>
      </c>
      <c r="L15" s="167">
        <f t="shared" si="1"/>
        <v>8.1739822534179621E-2</v>
      </c>
      <c r="O15" s="165" t="s">
        <v>116</v>
      </c>
      <c r="P15" s="166">
        <v>19198</v>
      </c>
      <c r="Q15" s="166">
        <v>26250</v>
      </c>
      <c r="R15" s="166">
        <v>47651</v>
      </c>
      <c r="S15" s="166">
        <v>54898</v>
      </c>
      <c r="T15" s="166">
        <v>54061</v>
      </c>
      <c r="U15" s="166">
        <v>60212</v>
      </c>
      <c r="V15" s="181">
        <f t="shared" si="5"/>
        <v>0.11377887941399534</v>
      </c>
      <c r="W15" s="165">
        <f t="shared" si="3"/>
        <v>6151</v>
      </c>
      <c r="X15" s="167">
        <f t="shared" si="2"/>
        <v>3.5480831500227752E-2</v>
      </c>
    </row>
    <row r="16" spans="1:24" x14ac:dyDescent="0.25">
      <c r="A16" s="1"/>
      <c r="B16" s="165" t="s">
        <v>119</v>
      </c>
      <c r="C16" s="166">
        <v>169952</v>
      </c>
      <c r="D16" s="166">
        <v>61568</v>
      </c>
      <c r="E16" s="166">
        <v>129489</v>
      </c>
      <c r="F16" s="166">
        <v>199586</v>
      </c>
      <c r="G16" s="166">
        <v>218554</v>
      </c>
      <c r="H16" s="166">
        <v>235111</v>
      </c>
      <c r="I16" s="166">
        <v>226835</v>
      </c>
      <c r="J16" s="181">
        <f t="shared" si="4"/>
        <v>-3.5200394707180838E-2</v>
      </c>
      <c r="K16" s="165">
        <f t="shared" si="0"/>
        <v>-8276</v>
      </c>
      <c r="L16" s="167">
        <f t="shared" si="1"/>
        <v>4.0883428833437631E-2</v>
      </c>
      <c r="O16" s="165" t="s">
        <v>119</v>
      </c>
      <c r="P16" s="166">
        <v>11055</v>
      </c>
      <c r="Q16" s="166">
        <v>23011</v>
      </c>
      <c r="R16" s="166">
        <v>32391</v>
      </c>
      <c r="S16" s="166">
        <v>35566</v>
      </c>
      <c r="T16" s="166">
        <v>35534</v>
      </c>
      <c r="U16" s="166">
        <v>38781</v>
      </c>
      <c r="V16" s="181">
        <f t="shared" si="5"/>
        <v>9.13772724714359E-2</v>
      </c>
      <c r="W16" s="165">
        <f t="shared" si="3"/>
        <v>3247</v>
      </c>
      <c r="X16" s="167">
        <f t="shared" si="2"/>
        <v>2.2852290679770352E-2</v>
      </c>
    </row>
    <row r="17" spans="1:24" x14ac:dyDescent="0.25">
      <c r="A17" s="1"/>
      <c r="B17" s="165" t="s">
        <v>126</v>
      </c>
      <c r="C17" s="166">
        <v>140154</v>
      </c>
      <c r="D17" s="166">
        <v>41678</v>
      </c>
      <c r="E17" s="166">
        <v>93338</v>
      </c>
      <c r="F17" s="166">
        <v>173382</v>
      </c>
      <c r="G17" s="166">
        <v>167833</v>
      </c>
      <c r="H17" s="166">
        <v>177387</v>
      </c>
      <c r="I17" s="166">
        <v>163984</v>
      </c>
      <c r="J17" s="181">
        <f t="shared" si="4"/>
        <v>-7.5557960842677296E-2</v>
      </c>
      <c r="K17" s="165">
        <f t="shared" si="0"/>
        <v>-13403</v>
      </c>
      <c r="L17" s="167">
        <f t="shared" si="1"/>
        <v>2.9555527999746232E-2</v>
      </c>
      <c r="O17" s="165" t="s">
        <v>126</v>
      </c>
      <c r="P17" s="166">
        <v>16914</v>
      </c>
      <c r="Q17" s="166">
        <v>36011</v>
      </c>
      <c r="R17" s="166">
        <v>71057</v>
      </c>
      <c r="S17" s="166">
        <v>70352</v>
      </c>
      <c r="T17" s="166">
        <v>71445</v>
      </c>
      <c r="U17" s="166">
        <v>66342</v>
      </c>
      <c r="V17" s="181">
        <f t="shared" si="5"/>
        <v>-7.1425572118412717E-2</v>
      </c>
      <c r="W17" s="165">
        <f t="shared" si="3"/>
        <v>-5103</v>
      </c>
      <c r="X17" s="167">
        <f t="shared" si="2"/>
        <v>3.9093026695477803E-2</v>
      </c>
    </row>
    <row r="18" spans="1:24" x14ac:dyDescent="0.25">
      <c r="A18" s="1"/>
      <c r="B18" s="165" t="s">
        <v>122</v>
      </c>
      <c r="C18" s="166">
        <v>136969</v>
      </c>
      <c r="D18" s="166">
        <v>58913</v>
      </c>
      <c r="E18" s="166">
        <v>94304</v>
      </c>
      <c r="F18" s="166">
        <v>150351</v>
      </c>
      <c r="G18" s="166">
        <v>154430</v>
      </c>
      <c r="H18" s="166">
        <v>161175</v>
      </c>
      <c r="I18" s="166">
        <v>151605</v>
      </c>
      <c r="J18" s="181">
        <f t="shared" si="4"/>
        <v>-5.937645416472781E-2</v>
      </c>
      <c r="K18" s="165">
        <f t="shared" si="0"/>
        <v>-9570</v>
      </c>
      <c r="L18" s="167">
        <f t="shared" si="1"/>
        <v>2.7324408615483995E-2</v>
      </c>
      <c r="O18" s="165" t="s">
        <v>122</v>
      </c>
      <c r="P18" s="166">
        <v>18532</v>
      </c>
      <c r="Q18" s="166">
        <v>28331</v>
      </c>
      <c r="R18" s="166">
        <v>48248</v>
      </c>
      <c r="S18" s="166">
        <v>55103</v>
      </c>
      <c r="T18" s="166">
        <v>55629</v>
      </c>
      <c r="U18" s="166">
        <v>50966</v>
      </c>
      <c r="V18" s="181">
        <f t="shared" si="5"/>
        <v>-8.382318574844061E-2</v>
      </c>
      <c r="W18" s="165">
        <f t="shared" si="3"/>
        <v>-4663</v>
      </c>
      <c r="X18" s="167">
        <f t="shared" si="2"/>
        <v>3.0032486186152386E-2</v>
      </c>
    </row>
    <row r="19" spans="1:24" x14ac:dyDescent="0.25">
      <c r="A19" s="1"/>
      <c r="B19" s="165" t="s">
        <v>131</v>
      </c>
      <c r="C19" s="166">
        <v>76537</v>
      </c>
      <c r="D19" s="166">
        <v>31182</v>
      </c>
      <c r="E19" s="166">
        <v>25435</v>
      </c>
      <c r="F19" s="166">
        <v>64413</v>
      </c>
      <c r="G19" s="166">
        <v>68822</v>
      </c>
      <c r="H19" s="166">
        <v>65431</v>
      </c>
      <c r="I19" s="166">
        <v>64402</v>
      </c>
      <c r="J19" s="181">
        <f t="shared" si="4"/>
        <v>-1.5726490501444257E-2</v>
      </c>
      <c r="K19" s="165">
        <f t="shared" si="0"/>
        <v>-1029</v>
      </c>
      <c r="L19" s="167">
        <f t="shared" si="1"/>
        <v>1.1607444105764322E-2</v>
      </c>
      <c r="O19" s="165" t="s">
        <v>131</v>
      </c>
      <c r="P19" s="166">
        <v>12333</v>
      </c>
      <c r="Q19" s="166">
        <v>12616</v>
      </c>
      <c r="R19" s="166">
        <v>27487</v>
      </c>
      <c r="S19" s="166">
        <v>28789</v>
      </c>
      <c r="T19" s="166">
        <v>27218</v>
      </c>
      <c r="U19" s="166">
        <v>27544</v>
      </c>
      <c r="V19" s="181">
        <f t="shared" si="5"/>
        <v>1.1977367918289294E-2</v>
      </c>
      <c r="W19" s="165">
        <f t="shared" si="3"/>
        <v>326</v>
      </c>
      <c r="X19" s="167">
        <f t="shared" si="2"/>
        <v>1.623071850864069E-2</v>
      </c>
    </row>
    <row r="20" spans="1:24" x14ac:dyDescent="0.25">
      <c r="A20" s="164" t="s">
        <v>147</v>
      </c>
      <c r="B20" s="165" t="s">
        <v>134</v>
      </c>
      <c r="C20" s="166">
        <v>110098</v>
      </c>
      <c r="D20" s="166">
        <v>47431</v>
      </c>
      <c r="E20" s="166">
        <v>22379</v>
      </c>
      <c r="F20" s="166">
        <v>58944</v>
      </c>
      <c r="G20" s="166">
        <v>72711</v>
      </c>
      <c r="H20" s="166">
        <v>71945</v>
      </c>
      <c r="I20" s="166">
        <v>61469</v>
      </c>
      <c r="J20" s="181">
        <f t="shared" si="4"/>
        <v>-0.14561123080130656</v>
      </c>
      <c r="K20" s="165">
        <f t="shared" si="0"/>
        <v>-10476</v>
      </c>
      <c r="L20" s="167">
        <f t="shared" si="1"/>
        <v>1.1078817144455563E-2</v>
      </c>
      <c r="O20" s="165" t="s">
        <v>134</v>
      </c>
      <c r="P20" s="166">
        <v>21722</v>
      </c>
      <c r="Q20" s="166">
        <v>13394</v>
      </c>
      <c r="R20" s="166">
        <v>28263</v>
      </c>
      <c r="S20" s="166">
        <v>33577</v>
      </c>
      <c r="T20" s="166">
        <v>30855</v>
      </c>
      <c r="U20" s="166">
        <v>26153</v>
      </c>
      <c r="V20" s="181">
        <f t="shared" si="5"/>
        <v>-0.15239021228326044</v>
      </c>
      <c r="W20" s="165">
        <f t="shared" si="3"/>
        <v>-4702</v>
      </c>
      <c r="X20" s="167">
        <f t="shared" si="2"/>
        <v>1.5411050724530931E-2</v>
      </c>
    </row>
    <row r="21" spans="1:24" x14ac:dyDescent="0.25">
      <c r="A21" s="169" t="s">
        <v>148</v>
      </c>
      <c r="B21" s="170" t="s">
        <v>148</v>
      </c>
      <c r="C21" s="171">
        <f t="shared" ref="C21" si="6">C13-SUM(C14:C20)</f>
        <v>974154</v>
      </c>
      <c r="D21" s="171">
        <f t="shared" ref="D21:I21" si="7">D13-SUM(D14:D20)</f>
        <v>332366</v>
      </c>
      <c r="E21" s="171">
        <f t="shared" si="7"/>
        <v>507649</v>
      </c>
      <c r="F21" s="171">
        <f t="shared" si="7"/>
        <v>1021905</v>
      </c>
      <c r="G21" s="171">
        <f t="shared" si="7"/>
        <v>1127097</v>
      </c>
      <c r="H21" s="171">
        <f t="shared" si="7"/>
        <v>1229612</v>
      </c>
      <c r="I21" s="171">
        <f t="shared" si="7"/>
        <v>1253860</v>
      </c>
      <c r="J21" s="182">
        <f t="shared" si="4"/>
        <v>1.9720041769273555E-2</v>
      </c>
      <c r="K21" s="170">
        <f t="shared" si="0"/>
        <v>24248</v>
      </c>
      <c r="L21" s="172">
        <f t="shared" si="1"/>
        <v>0.22598847654503981</v>
      </c>
      <c r="O21" s="170" t="s">
        <v>148</v>
      </c>
      <c r="P21" s="171">
        <f t="shared" ref="P21:U21" si="8">P13-SUM(P14:P20)</f>
        <v>112586</v>
      </c>
      <c r="Q21" s="171">
        <f t="shared" si="8"/>
        <v>175851</v>
      </c>
      <c r="R21" s="171">
        <f t="shared" si="8"/>
        <v>396481</v>
      </c>
      <c r="S21" s="171">
        <f t="shared" si="8"/>
        <v>416943</v>
      </c>
      <c r="T21" s="171">
        <f t="shared" si="8"/>
        <v>439369</v>
      </c>
      <c r="U21" s="171">
        <f t="shared" si="8"/>
        <v>472288</v>
      </c>
      <c r="V21" s="182">
        <f t="shared" si="5"/>
        <v>7.4923355994619634E-2</v>
      </c>
      <c r="W21" s="170">
        <f>U21-T21</f>
        <v>32919</v>
      </c>
      <c r="X21" s="172">
        <f t="shared" si="2"/>
        <v>0.27830284573805164</v>
      </c>
    </row>
    <row r="22" spans="1:24" x14ac:dyDescent="0.25">
      <c r="A22" s="1"/>
      <c r="B22" s="157" t="s">
        <v>47</v>
      </c>
      <c r="C22" s="155"/>
      <c r="D22" s="155"/>
      <c r="E22" s="155"/>
      <c r="F22" s="155"/>
      <c r="G22" s="155"/>
      <c r="H22" s="155"/>
      <c r="I22" s="155"/>
      <c r="J22" s="156"/>
      <c r="K22" s="156"/>
      <c r="L22" s="155"/>
    </row>
    <row r="23" spans="1:24" x14ac:dyDescent="0.25">
      <c r="A23" s="1"/>
      <c r="B23" s="158" t="s">
        <v>71</v>
      </c>
      <c r="C23" s="178">
        <v>1799528</v>
      </c>
      <c r="D23" s="178">
        <v>553767</v>
      </c>
      <c r="E23" s="178">
        <v>886032</v>
      </c>
      <c r="F23" s="178">
        <v>1785371</v>
      </c>
      <c r="G23" s="178">
        <v>1925435</v>
      </c>
      <c r="H23" s="178">
        <v>1977808</v>
      </c>
      <c r="I23" s="178">
        <v>1894928</v>
      </c>
      <c r="J23" s="179">
        <f>IFERROR(I23/H23-1,"-")</f>
        <v>-4.1904977631802454E-2</v>
      </c>
      <c r="K23" s="178">
        <f>I23-H23</f>
        <v>-82880</v>
      </c>
      <c r="L23" s="179">
        <f>I23/$I23</f>
        <v>1</v>
      </c>
    </row>
    <row r="24" spans="1:24" x14ac:dyDescent="0.25">
      <c r="A24" s="1" t="s">
        <v>99</v>
      </c>
      <c r="B24" s="161" t="s">
        <v>100</v>
      </c>
      <c r="C24" s="162">
        <v>225369</v>
      </c>
      <c r="D24" s="162">
        <v>104224</v>
      </c>
      <c r="E24" s="162">
        <v>248670</v>
      </c>
      <c r="F24" s="162">
        <v>209426</v>
      </c>
      <c r="G24" s="162">
        <v>184222</v>
      </c>
      <c r="H24" s="162">
        <v>164129</v>
      </c>
      <c r="I24" s="162">
        <v>149658</v>
      </c>
      <c r="J24" s="180">
        <f>IFERROR(I24/H24-1,"-")</f>
        <v>-8.8168452863296554E-2</v>
      </c>
      <c r="K24" s="161">
        <f t="shared" ref="K24:K34" si="9">I24-H24</f>
        <v>-14471</v>
      </c>
      <c r="L24" s="163">
        <f>I24/$I23</f>
        <v>7.8978198643959038E-2</v>
      </c>
    </row>
    <row r="25" spans="1:24" x14ac:dyDescent="0.25">
      <c r="A25" s="164" t="s">
        <v>106</v>
      </c>
      <c r="B25" s="165" t="s">
        <v>12</v>
      </c>
      <c r="C25" s="166">
        <v>113805</v>
      </c>
      <c r="D25" s="166">
        <v>59308</v>
      </c>
      <c r="E25" s="166">
        <v>127227</v>
      </c>
      <c r="F25" s="166">
        <v>87285</v>
      </c>
      <c r="G25" s="166">
        <v>76041</v>
      </c>
      <c r="H25" s="166">
        <v>61158</v>
      </c>
      <c r="I25" s="166">
        <v>67824</v>
      </c>
      <c r="J25" s="181">
        <f>IFERROR(I25/H25-1,"-")</f>
        <v>0.10899637005788287</v>
      </c>
      <c r="K25" s="165">
        <f t="shared" si="9"/>
        <v>6666</v>
      </c>
      <c r="L25" s="167">
        <f>I25/$I23</f>
        <v>3.5792388945648596E-2</v>
      </c>
    </row>
    <row r="26" spans="1:24" x14ac:dyDescent="0.25">
      <c r="A26" s="164" t="s">
        <v>103</v>
      </c>
      <c r="B26" s="165" t="s">
        <v>103</v>
      </c>
      <c r="C26" s="166">
        <v>111564</v>
      </c>
      <c r="D26" s="166">
        <v>44916</v>
      </c>
      <c r="E26" s="166">
        <v>121443</v>
      </c>
      <c r="F26" s="166">
        <v>122141</v>
      </c>
      <c r="G26" s="166">
        <v>108181</v>
      </c>
      <c r="H26" s="166">
        <v>102971</v>
      </c>
      <c r="I26" s="166">
        <v>81834</v>
      </c>
      <c r="J26" s="181">
        <f>IFERROR(I26/H26-1,"-")</f>
        <v>-0.20527138708956894</v>
      </c>
      <c r="K26" s="165">
        <f t="shared" si="9"/>
        <v>-21137</v>
      </c>
      <c r="L26" s="167">
        <f>I26/$I23</f>
        <v>4.3185809698310436E-2</v>
      </c>
    </row>
    <row r="27" spans="1:24" x14ac:dyDescent="0.25">
      <c r="A27" s="1"/>
      <c r="B27" s="161" t="s">
        <v>110</v>
      </c>
      <c r="C27" s="162">
        <v>1574159</v>
      </c>
      <c r="D27" s="162">
        <v>449543</v>
      </c>
      <c r="E27" s="162">
        <v>637362</v>
      </c>
      <c r="F27" s="162">
        <v>1575945</v>
      </c>
      <c r="G27" s="162">
        <v>1741213</v>
      </c>
      <c r="H27" s="162">
        <v>1813679</v>
      </c>
      <c r="I27" s="162">
        <v>1745270</v>
      </c>
      <c r="J27" s="180">
        <f>IFERROR(I27/H27-1,"-")</f>
        <v>-3.7718361407944823E-2</v>
      </c>
      <c r="K27" s="161">
        <f t="shared" si="9"/>
        <v>-68409</v>
      </c>
      <c r="L27" s="163">
        <f>I27/$I23</f>
        <v>0.92102180135604095</v>
      </c>
    </row>
    <row r="28" spans="1:24" s="58" customFormat="1" x14ac:dyDescent="0.25">
      <c r="B28" s="165" t="s">
        <v>113</v>
      </c>
      <c r="C28" s="166">
        <v>773712</v>
      </c>
      <c r="D28" s="166">
        <v>197220</v>
      </c>
      <c r="E28" s="166">
        <v>209063</v>
      </c>
      <c r="F28" s="166">
        <v>793035</v>
      </c>
      <c r="G28" s="166">
        <v>900777</v>
      </c>
      <c r="H28" s="166">
        <v>947879</v>
      </c>
      <c r="I28" s="166">
        <v>922178</v>
      </c>
      <c r="J28" s="181">
        <f t="shared" ref="J28:J35" si="10">IFERROR(I28/H28-1,"-")</f>
        <v>-2.7114220274950696E-2</v>
      </c>
      <c r="K28" s="165">
        <f t="shared" si="9"/>
        <v>-25701</v>
      </c>
      <c r="L28" s="167">
        <f>I28/$I23</f>
        <v>0.48665595737674466</v>
      </c>
    </row>
    <row r="29" spans="1:24" s="58" customFormat="1" x14ac:dyDescent="0.25">
      <c r="B29" s="165" t="s">
        <v>116</v>
      </c>
      <c r="C29" s="166">
        <v>205570</v>
      </c>
      <c r="D29" s="166">
        <v>56525</v>
      </c>
      <c r="E29" s="166">
        <v>104521</v>
      </c>
      <c r="F29" s="166">
        <v>172719</v>
      </c>
      <c r="G29" s="166">
        <v>185849</v>
      </c>
      <c r="H29" s="166">
        <v>186837</v>
      </c>
      <c r="I29" s="166">
        <v>175022</v>
      </c>
      <c r="J29" s="181">
        <f t="shared" si="10"/>
        <v>-6.323693915016837E-2</v>
      </c>
      <c r="K29" s="165">
        <f t="shared" si="9"/>
        <v>-11815</v>
      </c>
      <c r="L29" s="167">
        <f>I29/$I23</f>
        <v>9.2363403781040757E-2</v>
      </c>
    </row>
    <row r="30" spans="1:24" x14ac:dyDescent="0.25">
      <c r="A30" s="1"/>
      <c r="B30" s="165" t="s">
        <v>119</v>
      </c>
      <c r="C30" s="166">
        <v>53652</v>
      </c>
      <c r="D30" s="166">
        <v>21075</v>
      </c>
      <c r="E30" s="166">
        <v>43165</v>
      </c>
      <c r="F30" s="166">
        <v>63880</v>
      </c>
      <c r="G30" s="166">
        <v>66435</v>
      </c>
      <c r="H30" s="166">
        <v>59808</v>
      </c>
      <c r="I30" s="166">
        <v>52992</v>
      </c>
      <c r="J30" s="181">
        <f t="shared" si="10"/>
        <v>-0.1139646869983949</v>
      </c>
      <c r="K30" s="165">
        <f t="shared" si="9"/>
        <v>-6816</v>
      </c>
      <c r="L30" s="167">
        <f>I30/$I23</f>
        <v>2.7965178624201024E-2</v>
      </c>
    </row>
    <row r="31" spans="1:24" x14ac:dyDescent="0.25">
      <c r="A31" s="1"/>
      <c r="B31" s="165" t="s">
        <v>126</v>
      </c>
      <c r="C31" s="166">
        <v>62584</v>
      </c>
      <c r="D31" s="166">
        <v>17194</v>
      </c>
      <c r="E31" s="166">
        <v>41605</v>
      </c>
      <c r="F31" s="166">
        <v>77416</v>
      </c>
      <c r="G31" s="166">
        <v>71952</v>
      </c>
      <c r="H31" s="166">
        <v>72640</v>
      </c>
      <c r="I31" s="166">
        <v>67643</v>
      </c>
      <c r="J31" s="181">
        <f t="shared" si="10"/>
        <v>-6.8791299559471386E-2</v>
      </c>
      <c r="K31" s="165">
        <f t="shared" si="9"/>
        <v>-4997</v>
      </c>
      <c r="L31" s="167">
        <f>I31/$I23</f>
        <v>3.5696870804589935E-2</v>
      </c>
    </row>
    <row r="32" spans="1:24" x14ac:dyDescent="0.25">
      <c r="A32" s="1"/>
      <c r="B32" s="165" t="s">
        <v>122</v>
      </c>
      <c r="C32" s="166">
        <v>72038</v>
      </c>
      <c r="D32" s="166">
        <v>28679</v>
      </c>
      <c r="E32" s="166">
        <v>52336</v>
      </c>
      <c r="F32" s="166">
        <v>85446</v>
      </c>
      <c r="G32" s="166">
        <v>82435</v>
      </c>
      <c r="H32" s="166">
        <v>83954</v>
      </c>
      <c r="I32" s="166">
        <v>79865</v>
      </c>
      <c r="J32" s="181">
        <f t="shared" si="10"/>
        <v>-4.8705243347547444E-2</v>
      </c>
      <c r="K32" s="165">
        <f t="shared" si="9"/>
        <v>-4089</v>
      </c>
      <c r="L32" s="167">
        <f>I32/$I23</f>
        <v>4.2146720086462391E-2</v>
      </c>
    </row>
    <row r="33" spans="1:12" x14ac:dyDescent="0.25">
      <c r="A33" s="1"/>
      <c r="B33" s="165" t="s">
        <v>131</v>
      </c>
      <c r="C33" s="166">
        <v>31688</v>
      </c>
      <c r="D33" s="166">
        <v>12563</v>
      </c>
      <c r="E33" s="166">
        <v>7603</v>
      </c>
      <c r="F33" s="166">
        <v>23344</v>
      </c>
      <c r="G33" s="166">
        <v>24875</v>
      </c>
      <c r="H33" s="166">
        <v>24770</v>
      </c>
      <c r="I33" s="166">
        <v>23604</v>
      </c>
      <c r="J33" s="181">
        <f t="shared" si="10"/>
        <v>-4.707307226483648E-2</v>
      </c>
      <c r="K33" s="165">
        <f t="shared" si="9"/>
        <v>-1166</v>
      </c>
      <c r="L33" s="167">
        <f>I33/$I23</f>
        <v>1.2456409953306933E-2</v>
      </c>
    </row>
    <row r="34" spans="1:12" x14ac:dyDescent="0.25">
      <c r="A34" s="164" t="s">
        <v>147</v>
      </c>
      <c r="B34" s="165" t="s">
        <v>134</v>
      </c>
      <c r="C34" s="166">
        <v>36614</v>
      </c>
      <c r="D34" s="166">
        <v>14740</v>
      </c>
      <c r="E34" s="166">
        <v>5483</v>
      </c>
      <c r="F34" s="166">
        <v>20284</v>
      </c>
      <c r="G34" s="166">
        <v>26202</v>
      </c>
      <c r="H34" s="166">
        <v>24379</v>
      </c>
      <c r="I34" s="166">
        <v>21175</v>
      </c>
      <c r="J34" s="181">
        <f t="shared" si="10"/>
        <v>-0.13142458673448465</v>
      </c>
      <c r="K34" s="165">
        <f t="shared" si="9"/>
        <v>-3204</v>
      </c>
      <c r="L34" s="167">
        <f>I34/$I23</f>
        <v>1.1174567054790472E-2</v>
      </c>
    </row>
    <row r="35" spans="1:12" x14ac:dyDescent="0.25">
      <c r="A35" s="169" t="s">
        <v>148</v>
      </c>
      <c r="B35" s="170" t="s">
        <v>148</v>
      </c>
      <c r="C35" s="171">
        <f t="shared" ref="C35:I35" si="11">C27-SUM(C28:C34)</f>
        <v>338301</v>
      </c>
      <c r="D35" s="171">
        <f t="shared" si="11"/>
        <v>101547</v>
      </c>
      <c r="E35" s="171">
        <f t="shared" si="11"/>
        <v>173586</v>
      </c>
      <c r="F35" s="171">
        <f t="shared" si="11"/>
        <v>339821</v>
      </c>
      <c r="G35" s="171">
        <f t="shared" si="11"/>
        <v>382688</v>
      </c>
      <c r="H35" s="171">
        <f t="shared" si="11"/>
        <v>413412</v>
      </c>
      <c r="I35" s="171">
        <f t="shared" si="11"/>
        <v>402791</v>
      </c>
      <c r="J35" s="182">
        <f t="shared" si="10"/>
        <v>-2.5691078149642443E-2</v>
      </c>
      <c r="K35" s="170">
        <f>I35-H35</f>
        <v>-10621</v>
      </c>
      <c r="L35" s="172">
        <f>I35/$I23</f>
        <v>0.2125626936749048</v>
      </c>
    </row>
    <row r="36" spans="1:12" x14ac:dyDescent="0.25">
      <c r="A36" s="1"/>
      <c r="B36" s="157" t="s">
        <v>48</v>
      </c>
      <c r="C36" s="155"/>
      <c r="D36" s="155"/>
      <c r="E36" s="155"/>
      <c r="F36" s="155"/>
      <c r="G36" s="155"/>
      <c r="H36" s="155"/>
      <c r="I36" s="155"/>
      <c r="J36" s="156"/>
      <c r="K36" s="156"/>
      <c r="L36" s="155"/>
    </row>
    <row r="37" spans="1:12" x14ac:dyDescent="0.25">
      <c r="A37" s="1"/>
      <c r="B37" s="158" t="s">
        <v>71</v>
      </c>
      <c r="C37" s="178">
        <v>1327537</v>
      </c>
      <c r="D37" s="178">
        <v>383303</v>
      </c>
      <c r="E37" s="178">
        <v>494807</v>
      </c>
      <c r="F37" s="178">
        <v>1265143</v>
      </c>
      <c r="G37" s="178">
        <v>1346478</v>
      </c>
      <c r="H37" s="178">
        <v>1414199</v>
      </c>
      <c r="I37" s="178">
        <v>1450547</v>
      </c>
      <c r="J37" s="179">
        <f>IFERROR(I37/H37-1,"-")</f>
        <v>2.5702181941862579E-2</v>
      </c>
      <c r="K37" s="178">
        <f>I37-H37</f>
        <v>36348</v>
      </c>
      <c r="L37" s="179">
        <f>I37/$I37</f>
        <v>1</v>
      </c>
    </row>
    <row r="38" spans="1:12" x14ac:dyDescent="0.25">
      <c r="A38" s="1" t="s">
        <v>99</v>
      </c>
      <c r="B38" s="161" t="s">
        <v>100</v>
      </c>
      <c r="C38" s="162">
        <v>129369</v>
      </c>
      <c r="D38" s="162">
        <v>48639</v>
      </c>
      <c r="E38" s="162">
        <v>83727</v>
      </c>
      <c r="F38" s="162">
        <v>125247</v>
      </c>
      <c r="G38" s="162">
        <v>120690</v>
      </c>
      <c r="H38" s="162">
        <v>115725</v>
      </c>
      <c r="I38" s="162">
        <v>119765</v>
      </c>
      <c r="J38" s="180">
        <f>IFERROR(I38/H38-1,"-")</f>
        <v>3.4910347807301845E-2</v>
      </c>
      <c r="K38" s="161">
        <f t="shared" ref="K38:K48" si="12">I38-H38</f>
        <v>4040</v>
      </c>
      <c r="L38" s="163">
        <f>I38/$I37</f>
        <v>8.2565404637009343E-2</v>
      </c>
    </row>
    <row r="39" spans="1:12" x14ac:dyDescent="0.25">
      <c r="A39" s="164" t="s">
        <v>106</v>
      </c>
      <c r="B39" s="165" t="s">
        <v>106</v>
      </c>
      <c r="C39" s="166">
        <v>51589</v>
      </c>
      <c r="D39" s="166">
        <v>23761</v>
      </c>
      <c r="E39" s="166">
        <v>43623</v>
      </c>
      <c r="F39" s="166">
        <v>48440</v>
      </c>
      <c r="G39" s="166">
        <v>52862</v>
      </c>
      <c r="H39" s="166">
        <v>50590</v>
      </c>
      <c r="I39" s="166">
        <v>51921</v>
      </c>
      <c r="J39" s="181">
        <f>IFERROR(I39/H39-1,"-")</f>
        <v>2.6309547341371919E-2</v>
      </c>
      <c r="K39" s="165">
        <f t="shared" si="12"/>
        <v>1331</v>
      </c>
      <c r="L39" s="167">
        <f>I39/$I37</f>
        <v>3.579408319757995E-2</v>
      </c>
    </row>
    <row r="40" spans="1:12" x14ac:dyDescent="0.25">
      <c r="A40" s="164" t="s">
        <v>103</v>
      </c>
      <c r="B40" s="165" t="s">
        <v>103</v>
      </c>
      <c r="C40" s="166">
        <v>77780</v>
      </c>
      <c r="D40" s="166">
        <v>24878</v>
      </c>
      <c r="E40" s="166">
        <v>40104</v>
      </c>
      <c r="F40" s="166">
        <v>76807</v>
      </c>
      <c r="G40" s="166">
        <v>67828</v>
      </c>
      <c r="H40" s="166">
        <v>65135</v>
      </c>
      <c r="I40" s="166">
        <v>67844</v>
      </c>
      <c r="J40" s="181">
        <f>IFERROR(I40/H40-1,"-")</f>
        <v>4.1590542718968226E-2</v>
      </c>
      <c r="K40" s="165">
        <f t="shared" si="12"/>
        <v>2709</v>
      </c>
      <c r="L40" s="167">
        <f>I40/$I37</f>
        <v>4.67713214394294E-2</v>
      </c>
    </row>
    <row r="41" spans="1:12" x14ac:dyDescent="0.25">
      <c r="A41" s="1"/>
      <c r="B41" s="161" t="s">
        <v>110</v>
      </c>
      <c r="C41" s="162">
        <v>1198168</v>
      </c>
      <c r="D41" s="162">
        <v>334664</v>
      </c>
      <c r="E41" s="162">
        <v>411080</v>
      </c>
      <c r="F41" s="162">
        <v>1139896</v>
      </c>
      <c r="G41" s="162">
        <v>1225788</v>
      </c>
      <c r="H41" s="162">
        <v>1298474</v>
      </c>
      <c r="I41" s="162">
        <v>1330782</v>
      </c>
      <c r="J41" s="180">
        <f>IFERROR(I41/H41-1,"-")</f>
        <v>2.4881514762713719E-2</v>
      </c>
      <c r="K41" s="161">
        <f t="shared" si="12"/>
        <v>32308</v>
      </c>
      <c r="L41" s="163">
        <f>I41/$I37</f>
        <v>0.91743459536299066</v>
      </c>
    </row>
    <row r="42" spans="1:12" s="58" customFormat="1" x14ac:dyDescent="0.25">
      <c r="B42" s="165" t="s">
        <v>113</v>
      </c>
      <c r="C42" s="166">
        <v>653469</v>
      </c>
      <c r="D42" s="166">
        <v>152430</v>
      </c>
      <c r="E42" s="166">
        <v>143107</v>
      </c>
      <c r="F42" s="166">
        <v>589013</v>
      </c>
      <c r="G42" s="166">
        <v>647220</v>
      </c>
      <c r="H42" s="166">
        <v>696169</v>
      </c>
      <c r="I42" s="166">
        <v>700440</v>
      </c>
      <c r="J42" s="181">
        <f t="shared" ref="J42:J49" si="13">IFERROR(I42/H42-1,"-")</f>
        <v>6.1350045750385718E-3</v>
      </c>
      <c r="K42" s="165">
        <f t="shared" si="12"/>
        <v>4271</v>
      </c>
      <c r="L42" s="167">
        <f>I42/$I37</f>
        <v>0.48287990668347869</v>
      </c>
    </row>
    <row r="43" spans="1:12" s="58" customFormat="1" x14ac:dyDescent="0.25">
      <c r="B43" s="165" t="s">
        <v>116</v>
      </c>
      <c r="C43" s="166">
        <v>53591</v>
      </c>
      <c r="D43" s="166">
        <v>16111</v>
      </c>
      <c r="E43" s="166">
        <v>22014</v>
      </c>
      <c r="F43" s="166">
        <v>40094</v>
      </c>
      <c r="G43" s="166">
        <v>46114</v>
      </c>
      <c r="H43" s="166">
        <v>45371</v>
      </c>
      <c r="I43" s="166">
        <v>51229</v>
      </c>
      <c r="J43" s="181">
        <f t="shared" si="13"/>
        <v>0.12911331026426565</v>
      </c>
      <c r="K43" s="165">
        <f t="shared" si="12"/>
        <v>5858</v>
      </c>
      <c r="L43" s="167">
        <f>I43/$I37</f>
        <v>3.5317021785574686E-2</v>
      </c>
    </row>
    <row r="44" spans="1:12" x14ac:dyDescent="0.25">
      <c r="A44" s="1"/>
      <c r="B44" s="165" t="s">
        <v>119</v>
      </c>
      <c r="C44" s="166">
        <v>24734</v>
      </c>
      <c r="D44" s="166">
        <v>9804</v>
      </c>
      <c r="E44" s="166">
        <v>20113</v>
      </c>
      <c r="F44" s="166">
        <v>27607</v>
      </c>
      <c r="G44" s="166">
        <v>29230</v>
      </c>
      <c r="H44" s="166">
        <v>29531</v>
      </c>
      <c r="I44" s="166">
        <v>32919</v>
      </c>
      <c r="J44" s="181">
        <f t="shared" si="13"/>
        <v>0.11472689715891771</v>
      </c>
      <c r="K44" s="165">
        <f t="shared" si="12"/>
        <v>3388</v>
      </c>
      <c r="L44" s="167">
        <f>I44/$I37</f>
        <v>2.269419743034869E-2</v>
      </c>
    </row>
    <row r="45" spans="1:12" x14ac:dyDescent="0.25">
      <c r="A45" s="1"/>
      <c r="B45" s="165" t="s">
        <v>126</v>
      </c>
      <c r="C45" s="166">
        <v>54686</v>
      </c>
      <c r="D45" s="166">
        <v>14305</v>
      </c>
      <c r="E45" s="166">
        <v>30710</v>
      </c>
      <c r="F45" s="166">
        <v>58189</v>
      </c>
      <c r="G45" s="166">
        <v>56377</v>
      </c>
      <c r="H45" s="166">
        <v>58857</v>
      </c>
      <c r="I45" s="166">
        <v>54317</v>
      </c>
      <c r="J45" s="181">
        <f t="shared" si="13"/>
        <v>-7.7136109553664012E-2</v>
      </c>
      <c r="K45" s="165">
        <f t="shared" si="12"/>
        <v>-4540</v>
      </c>
      <c r="L45" s="167">
        <f>I45/$I37</f>
        <v>3.7445873866892972E-2</v>
      </c>
    </row>
    <row r="46" spans="1:12" x14ac:dyDescent="0.25">
      <c r="A46" s="1"/>
      <c r="B46" s="165" t="s">
        <v>122</v>
      </c>
      <c r="C46" s="166">
        <v>42015</v>
      </c>
      <c r="D46" s="166">
        <v>15530</v>
      </c>
      <c r="E46" s="166">
        <v>22921</v>
      </c>
      <c r="F46" s="166">
        <v>39629</v>
      </c>
      <c r="G46" s="166">
        <v>45101</v>
      </c>
      <c r="H46" s="166">
        <v>45571</v>
      </c>
      <c r="I46" s="166">
        <v>42059</v>
      </c>
      <c r="J46" s="181">
        <f t="shared" si="13"/>
        <v>-7.7066555484847865E-2</v>
      </c>
      <c r="K46" s="165">
        <f t="shared" si="12"/>
        <v>-3512</v>
      </c>
      <c r="L46" s="167">
        <f>I46/$I37</f>
        <v>2.8995268681400878E-2</v>
      </c>
    </row>
    <row r="47" spans="1:12" x14ac:dyDescent="0.25">
      <c r="A47" s="1"/>
      <c r="B47" s="165" t="s">
        <v>131</v>
      </c>
      <c r="C47" s="166">
        <v>27828</v>
      </c>
      <c r="D47" s="166">
        <v>10520</v>
      </c>
      <c r="E47" s="166">
        <v>10564</v>
      </c>
      <c r="F47" s="166">
        <v>23280</v>
      </c>
      <c r="G47" s="166">
        <v>23847</v>
      </c>
      <c r="H47" s="166">
        <v>22838</v>
      </c>
      <c r="I47" s="166">
        <v>23380</v>
      </c>
      <c r="J47" s="181">
        <f t="shared" si="13"/>
        <v>2.3732375864786714E-2</v>
      </c>
      <c r="K47" s="165">
        <f t="shared" si="12"/>
        <v>542</v>
      </c>
      <c r="L47" s="167">
        <f>I47/$I37</f>
        <v>1.6118057532779013E-2</v>
      </c>
    </row>
    <row r="48" spans="1:12" x14ac:dyDescent="0.25">
      <c r="A48" s="164" t="s">
        <v>147</v>
      </c>
      <c r="B48" s="165" t="s">
        <v>134</v>
      </c>
      <c r="C48" s="166">
        <v>44401</v>
      </c>
      <c r="D48" s="166">
        <v>18744</v>
      </c>
      <c r="E48" s="166">
        <v>10661</v>
      </c>
      <c r="F48" s="166">
        <v>23652</v>
      </c>
      <c r="G48" s="166">
        <v>27257</v>
      </c>
      <c r="H48" s="166">
        <v>25911</v>
      </c>
      <c r="I48" s="166">
        <v>21706</v>
      </c>
      <c r="J48" s="181">
        <f t="shared" si="13"/>
        <v>-0.16228628767704834</v>
      </c>
      <c r="K48" s="165">
        <f t="shared" si="12"/>
        <v>-4205</v>
      </c>
      <c r="L48" s="167">
        <f>I48/$I37</f>
        <v>1.4964010128592869E-2</v>
      </c>
    </row>
    <row r="49" spans="1:12" x14ac:dyDescent="0.25">
      <c r="A49" s="169" t="s">
        <v>148</v>
      </c>
      <c r="B49" s="170" t="s">
        <v>148</v>
      </c>
      <c r="C49" s="171">
        <f t="shared" ref="C49:I49" si="14">C41-SUM(C42:C48)</f>
        <v>297444</v>
      </c>
      <c r="D49" s="171">
        <f t="shared" si="14"/>
        <v>97220</v>
      </c>
      <c r="E49" s="171">
        <f t="shared" si="14"/>
        <v>150990</v>
      </c>
      <c r="F49" s="171">
        <f t="shared" si="14"/>
        <v>338432</v>
      </c>
      <c r="G49" s="171">
        <f t="shared" si="14"/>
        <v>350642</v>
      </c>
      <c r="H49" s="171">
        <f t="shared" si="14"/>
        <v>374226</v>
      </c>
      <c r="I49" s="171">
        <f t="shared" si="14"/>
        <v>404732</v>
      </c>
      <c r="J49" s="182">
        <f t="shared" si="13"/>
        <v>8.151758563007383E-2</v>
      </c>
      <c r="K49" s="170">
        <f>I49-H49</f>
        <v>30506</v>
      </c>
      <c r="L49" s="172">
        <f>I49/$I37</f>
        <v>0.27902025925392282</v>
      </c>
    </row>
    <row r="50" spans="1:12" x14ac:dyDescent="0.25">
      <c r="A50" s="1"/>
      <c r="B50" s="157" t="s">
        <v>49</v>
      </c>
      <c r="C50" s="155"/>
      <c r="D50" s="155"/>
      <c r="E50" s="155"/>
      <c r="F50" s="155"/>
      <c r="G50" s="155"/>
      <c r="H50" s="155"/>
      <c r="I50" s="155"/>
      <c r="J50" s="156"/>
      <c r="K50" s="156"/>
      <c r="L50" s="155"/>
    </row>
    <row r="51" spans="1:12" x14ac:dyDescent="0.25">
      <c r="A51" s="1"/>
      <c r="B51" s="158" t="s">
        <v>71</v>
      </c>
      <c r="C51" s="178">
        <v>45810</v>
      </c>
      <c r="D51" s="178">
        <v>13251</v>
      </c>
      <c r="E51" s="178">
        <v>20284</v>
      </c>
      <c r="F51" s="178">
        <v>38233</v>
      </c>
      <c r="G51" s="178">
        <v>51611</v>
      </c>
      <c r="H51" s="178">
        <v>45550</v>
      </c>
      <c r="I51" s="178">
        <v>45028</v>
      </c>
      <c r="J51" s="179">
        <f>IFERROR(I51/H51-1,"-")</f>
        <v>-1.1459934138309591E-2</v>
      </c>
      <c r="K51" s="178">
        <f>I51-H51</f>
        <v>-522</v>
      </c>
      <c r="L51" s="179">
        <f>I51/$I51</f>
        <v>1</v>
      </c>
    </row>
    <row r="52" spans="1:12" x14ac:dyDescent="0.25">
      <c r="A52" s="1" t="s">
        <v>99</v>
      </c>
      <c r="B52" s="161" t="s">
        <v>100</v>
      </c>
      <c r="C52" s="162">
        <v>10543</v>
      </c>
      <c r="D52" s="162">
        <v>2362</v>
      </c>
      <c r="E52" s="162">
        <v>4977</v>
      </c>
      <c r="F52" s="162">
        <v>6805</v>
      </c>
      <c r="G52" s="162">
        <v>20361</v>
      </c>
      <c r="H52" s="162">
        <v>12056</v>
      </c>
      <c r="I52" s="162">
        <v>10127</v>
      </c>
      <c r="J52" s="180">
        <f>IFERROR(I52/H52-1,"-")</f>
        <v>-0.16000331785003319</v>
      </c>
      <c r="K52" s="161">
        <f t="shared" ref="K52:K62" si="15">I52-H52</f>
        <v>-1929</v>
      </c>
      <c r="L52" s="163">
        <f>I52/$I51</f>
        <v>0.22490450386426225</v>
      </c>
    </row>
    <row r="53" spans="1:12" x14ac:dyDescent="0.25">
      <c r="A53" s="164" t="s">
        <v>106</v>
      </c>
      <c r="B53" s="165" t="s">
        <v>106</v>
      </c>
      <c r="C53" s="166">
        <v>5954</v>
      </c>
      <c r="D53" s="166">
        <v>1669</v>
      </c>
      <c r="E53" s="166">
        <v>2436</v>
      </c>
      <c r="F53" s="166">
        <v>3518</v>
      </c>
      <c r="G53" s="166">
        <v>14887</v>
      </c>
      <c r="H53" s="166">
        <v>7780</v>
      </c>
      <c r="I53" s="166">
        <v>5937</v>
      </c>
      <c r="J53" s="181">
        <f>IFERROR(I53/H53-1,"-")</f>
        <v>-0.23688946015424162</v>
      </c>
      <c r="K53" s="165">
        <f t="shared" si="15"/>
        <v>-1843</v>
      </c>
      <c r="L53" s="167">
        <f>I53/$I51</f>
        <v>0.131851292529093</v>
      </c>
    </row>
    <row r="54" spans="1:12" x14ac:dyDescent="0.25">
      <c r="A54" s="164" t="s">
        <v>103</v>
      </c>
      <c r="B54" s="165" t="s">
        <v>103</v>
      </c>
      <c r="C54" s="166">
        <v>4589</v>
      </c>
      <c r="D54" s="166">
        <v>693</v>
      </c>
      <c r="E54" s="166">
        <v>2541</v>
      </c>
      <c r="F54" s="166">
        <v>3287</v>
      </c>
      <c r="G54" s="166">
        <v>5474</v>
      </c>
      <c r="H54" s="166">
        <v>4276</v>
      </c>
      <c r="I54" s="166">
        <v>4190</v>
      </c>
      <c r="J54" s="181">
        <f>IFERROR(I54/H54-1,"-")</f>
        <v>-2.0112254443405031E-2</v>
      </c>
      <c r="K54" s="165">
        <f t="shared" si="15"/>
        <v>-86</v>
      </c>
      <c r="L54" s="167">
        <f>I54/$I51</f>
        <v>9.3053211335169222E-2</v>
      </c>
    </row>
    <row r="55" spans="1:12" x14ac:dyDescent="0.25">
      <c r="A55" s="1"/>
      <c r="B55" s="161" t="s">
        <v>110</v>
      </c>
      <c r="C55" s="162">
        <v>35267</v>
      </c>
      <c r="D55" s="162">
        <v>10889</v>
      </c>
      <c r="E55" s="162">
        <v>15307</v>
      </c>
      <c r="F55" s="162">
        <v>31428</v>
      </c>
      <c r="G55" s="162">
        <v>31250</v>
      </c>
      <c r="H55" s="162">
        <v>33494</v>
      </c>
      <c r="I55" s="162">
        <v>34901</v>
      </c>
      <c r="J55" s="180">
        <f>IFERROR(I55/H55-1,"-")</f>
        <v>4.2007523735594354E-2</v>
      </c>
      <c r="K55" s="161">
        <f t="shared" si="15"/>
        <v>1407</v>
      </c>
      <c r="L55" s="163">
        <f>I55/$I51</f>
        <v>0.7750954961357378</v>
      </c>
    </row>
    <row r="56" spans="1:12" s="58" customFormat="1" x14ac:dyDescent="0.25">
      <c r="B56" s="165" t="s">
        <v>113</v>
      </c>
      <c r="C56" s="166">
        <v>10451</v>
      </c>
      <c r="D56" s="166">
        <v>3218</v>
      </c>
      <c r="E56" s="166">
        <v>3039</v>
      </c>
      <c r="F56" s="166">
        <v>10480</v>
      </c>
      <c r="G56" s="166">
        <v>9481</v>
      </c>
      <c r="H56" s="166">
        <v>11205</v>
      </c>
      <c r="I56" s="166">
        <v>11898</v>
      </c>
      <c r="J56" s="181">
        <f t="shared" ref="J56:J63" si="16">IFERROR(I56/H56-1,"-")</f>
        <v>6.184738955823299E-2</v>
      </c>
      <c r="K56" s="165">
        <f t="shared" si="15"/>
        <v>693</v>
      </c>
      <c r="L56" s="167">
        <f>I56/$I51</f>
        <v>0.26423558674602471</v>
      </c>
    </row>
    <row r="57" spans="1:12" s="58" customFormat="1" x14ac:dyDescent="0.25">
      <c r="B57" s="165" t="s">
        <v>116</v>
      </c>
      <c r="C57" s="166">
        <v>10142</v>
      </c>
      <c r="D57" s="166">
        <v>3153</v>
      </c>
      <c r="E57" s="166">
        <v>5197</v>
      </c>
      <c r="F57" s="166">
        <v>7015</v>
      </c>
      <c r="G57" s="166">
        <v>6255</v>
      </c>
      <c r="H57" s="166">
        <v>6432</v>
      </c>
      <c r="I57" s="166">
        <v>7119</v>
      </c>
      <c r="J57" s="181">
        <f t="shared" si="16"/>
        <v>0.10680970149253732</v>
      </c>
      <c r="K57" s="165">
        <f t="shared" si="15"/>
        <v>687</v>
      </c>
      <c r="L57" s="167">
        <f>I57/$I51</f>
        <v>0.1581016256551479</v>
      </c>
    </row>
    <row r="58" spans="1:12" x14ac:dyDescent="0.25">
      <c r="A58" s="1"/>
      <c r="B58" s="165" t="s">
        <v>119</v>
      </c>
      <c r="C58" s="166">
        <v>2191</v>
      </c>
      <c r="D58" s="166">
        <v>531</v>
      </c>
      <c r="E58" s="166">
        <v>1648</v>
      </c>
      <c r="F58" s="166">
        <v>2748</v>
      </c>
      <c r="G58" s="166">
        <v>2961</v>
      </c>
      <c r="H58" s="166">
        <v>2512</v>
      </c>
      <c r="I58" s="166">
        <v>2797</v>
      </c>
      <c r="J58" s="181">
        <f t="shared" si="16"/>
        <v>0.11345541401273884</v>
      </c>
      <c r="K58" s="165">
        <f t="shared" si="15"/>
        <v>285</v>
      </c>
      <c r="L58" s="167">
        <f>I58/$I51</f>
        <v>6.2116905036865948E-2</v>
      </c>
    </row>
    <row r="59" spans="1:12" x14ac:dyDescent="0.25">
      <c r="A59" s="1"/>
      <c r="B59" s="165" t="s">
        <v>126</v>
      </c>
      <c r="C59" s="166">
        <v>733</v>
      </c>
      <c r="D59" s="166">
        <v>275</v>
      </c>
      <c r="E59" s="166">
        <v>377</v>
      </c>
      <c r="F59" s="166">
        <v>875</v>
      </c>
      <c r="G59" s="166">
        <v>834</v>
      </c>
      <c r="H59" s="166">
        <v>1072</v>
      </c>
      <c r="I59" s="166">
        <v>1142</v>
      </c>
      <c r="J59" s="181">
        <f t="shared" si="16"/>
        <v>6.5298507462686617E-2</v>
      </c>
      <c r="K59" s="165">
        <f t="shared" si="15"/>
        <v>70</v>
      </c>
      <c r="L59" s="167">
        <f>I59/$I51</f>
        <v>2.5361996979657103E-2</v>
      </c>
    </row>
    <row r="60" spans="1:12" x14ac:dyDescent="0.25">
      <c r="A60" s="1"/>
      <c r="B60" s="165" t="s">
        <v>122</v>
      </c>
      <c r="C60" s="166">
        <v>710</v>
      </c>
      <c r="D60" s="166">
        <v>231</v>
      </c>
      <c r="E60" s="166">
        <v>480</v>
      </c>
      <c r="F60" s="166">
        <v>665</v>
      </c>
      <c r="G60" s="166">
        <v>718</v>
      </c>
      <c r="H60" s="166">
        <v>761</v>
      </c>
      <c r="I60" s="166">
        <v>932</v>
      </c>
      <c r="J60" s="181">
        <f t="shared" si="16"/>
        <v>0.22470433639947429</v>
      </c>
      <c r="K60" s="165">
        <f t="shared" si="15"/>
        <v>171</v>
      </c>
      <c r="L60" s="167">
        <f>I60/$I51</f>
        <v>2.069823221106867E-2</v>
      </c>
    </row>
    <row r="61" spans="1:12" x14ac:dyDescent="0.25">
      <c r="A61" s="1"/>
      <c r="B61" s="165" t="s">
        <v>131</v>
      </c>
      <c r="C61" s="166">
        <v>289</v>
      </c>
      <c r="D61" s="166">
        <v>136</v>
      </c>
      <c r="E61" s="166">
        <v>98</v>
      </c>
      <c r="F61" s="166">
        <v>141</v>
      </c>
      <c r="G61" s="166">
        <v>243</v>
      </c>
      <c r="H61" s="166">
        <v>149</v>
      </c>
      <c r="I61" s="166">
        <v>210</v>
      </c>
      <c r="J61" s="181">
        <f t="shared" si="16"/>
        <v>0.40939597315436238</v>
      </c>
      <c r="K61" s="165">
        <f t="shared" si="15"/>
        <v>61</v>
      </c>
      <c r="L61" s="167">
        <f>I61/$I51</f>
        <v>4.6637647685884341E-3</v>
      </c>
    </row>
    <row r="62" spans="1:12" x14ac:dyDescent="0.25">
      <c r="A62" s="164" t="s">
        <v>147</v>
      </c>
      <c r="B62" s="165" t="s">
        <v>134</v>
      </c>
      <c r="C62" s="166">
        <v>617</v>
      </c>
      <c r="D62" s="166">
        <v>246</v>
      </c>
      <c r="E62" s="166">
        <v>91</v>
      </c>
      <c r="F62" s="166">
        <v>157</v>
      </c>
      <c r="G62" s="166">
        <v>195</v>
      </c>
      <c r="H62" s="166">
        <v>168</v>
      </c>
      <c r="I62" s="166">
        <v>489</v>
      </c>
      <c r="J62" s="181">
        <f t="shared" si="16"/>
        <v>1.9107142857142856</v>
      </c>
      <c r="K62" s="165">
        <f t="shared" si="15"/>
        <v>321</v>
      </c>
      <c r="L62" s="167">
        <f>I62/$I51</f>
        <v>1.0859909389713067E-2</v>
      </c>
    </row>
    <row r="63" spans="1:12" x14ac:dyDescent="0.25">
      <c r="A63" s="169" t="s">
        <v>148</v>
      </c>
      <c r="B63" s="170" t="s">
        <v>148</v>
      </c>
      <c r="C63" s="171">
        <f t="shared" ref="C63:I63" si="17">C55-SUM(C56:C62)</f>
        <v>10134</v>
      </c>
      <c r="D63" s="171">
        <f t="shared" si="17"/>
        <v>3099</v>
      </c>
      <c r="E63" s="171">
        <f t="shared" si="17"/>
        <v>4377</v>
      </c>
      <c r="F63" s="171">
        <f t="shared" si="17"/>
        <v>9347</v>
      </c>
      <c r="G63" s="171">
        <f t="shared" si="17"/>
        <v>10563</v>
      </c>
      <c r="H63" s="171">
        <f t="shared" si="17"/>
        <v>11195</v>
      </c>
      <c r="I63" s="171">
        <f t="shared" si="17"/>
        <v>10314</v>
      </c>
      <c r="J63" s="182">
        <f t="shared" si="16"/>
        <v>-7.8695846359982169E-2</v>
      </c>
      <c r="K63" s="170">
        <f>I63-H63</f>
        <v>-881</v>
      </c>
      <c r="L63" s="172">
        <f>I63/$I51</f>
        <v>0.22905747534867194</v>
      </c>
    </row>
    <row r="64" spans="1:12" x14ac:dyDescent="0.25">
      <c r="A64" s="1"/>
      <c r="B64" s="157" t="s">
        <v>50</v>
      </c>
      <c r="C64" s="155"/>
      <c r="D64" s="155"/>
      <c r="E64" s="155"/>
      <c r="F64" s="155"/>
      <c r="G64" s="155"/>
      <c r="H64" s="155"/>
      <c r="I64" s="155"/>
      <c r="J64" s="156"/>
      <c r="K64" s="156"/>
      <c r="L64" s="155"/>
    </row>
    <row r="65" spans="1:12" x14ac:dyDescent="0.25">
      <c r="A65" s="1"/>
      <c r="B65" s="158" t="s">
        <v>71</v>
      </c>
      <c r="C65" s="178">
        <v>139160</v>
      </c>
      <c r="D65" s="178">
        <v>55197</v>
      </c>
      <c r="E65" s="178">
        <v>71245</v>
      </c>
      <c r="F65" s="178">
        <v>164270</v>
      </c>
      <c r="G65" s="178">
        <v>177179</v>
      </c>
      <c r="H65" s="178">
        <v>234780</v>
      </c>
      <c r="I65" s="178">
        <v>191694</v>
      </c>
      <c r="J65" s="179">
        <f>IFERROR(I65/H65-1,"-")</f>
        <v>-0.18351648351648353</v>
      </c>
      <c r="K65" s="178">
        <f>I65-H65</f>
        <v>-43086</v>
      </c>
      <c r="L65" s="179">
        <f>I65/$I65</f>
        <v>1</v>
      </c>
    </row>
    <row r="66" spans="1:12" x14ac:dyDescent="0.25">
      <c r="A66" s="1" t="s">
        <v>99</v>
      </c>
      <c r="B66" s="161" t="s">
        <v>100</v>
      </c>
      <c r="C66" s="162">
        <v>42184</v>
      </c>
      <c r="D66" s="162">
        <v>22903</v>
      </c>
      <c r="E66" s="162">
        <v>26573</v>
      </c>
      <c r="F66" s="162">
        <v>32862</v>
      </c>
      <c r="G66" s="162">
        <v>44592</v>
      </c>
      <c r="H66" s="162">
        <v>62052</v>
      </c>
      <c r="I66" s="162">
        <v>43592</v>
      </c>
      <c r="J66" s="180">
        <f>IFERROR(I66/H66-1,"-")</f>
        <v>-0.29749242570747114</v>
      </c>
      <c r="K66" s="161">
        <f t="shared" ref="K66:K76" si="18">I66-H66</f>
        <v>-18460</v>
      </c>
      <c r="L66" s="163">
        <f>I66/$I65</f>
        <v>0.22740409193819316</v>
      </c>
    </row>
    <row r="67" spans="1:12" x14ac:dyDescent="0.25">
      <c r="A67" s="164" t="s">
        <v>106</v>
      </c>
      <c r="B67" s="165" t="s">
        <v>106</v>
      </c>
      <c r="C67" s="166">
        <v>22767</v>
      </c>
      <c r="D67" s="166">
        <v>8180</v>
      </c>
      <c r="E67" s="166">
        <v>21826</v>
      </c>
      <c r="F67" s="166">
        <v>23626</v>
      </c>
      <c r="G67" s="166">
        <v>29910</v>
      </c>
      <c r="H67" s="166">
        <v>37748</v>
      </c>
      <c r="I67" s="166">
        <v>16545</v>
      </c>
      <c r="J67" s="181">
        <f>IFERROR(I67/H67-1,"-")</f>
        <v>-0.56169863304016099</v>
      </c>
      <c r="K67" s="165">
        <f t="shared" si="18"/>
        <v>-21203</v>
      </c>
      <c r="L67" s="167">
        <f>I67/$I65</f>
        <v>8.6309430655106573E-2</v>
      </c>
    </row>
    <row r="68" spans="1:12" x14ac:dyDescent="0.25">
      <c r="A68" s="164" t="s">
        <v>103</v>
      </c>
      <c r="B68" s="165" t="s">
        <v>103</v>
      </c>
      <c r="C68" s="166">
        <v>19417</v>
      </c>
      <c r="D68" s="166">
        <v>14723</v>
      </c>
      <c r="E68" s="166">
        <v>4747</v>
      </c>
      <c r="F68" s="166">
        <v>9236</v>
      </c>
      <c r="G68" s="166">
        <v>14682</v>
      </c>
      <c r="H68" s="166">
        <v>24304</v>
      </c>
      <c r="I68" s="166">
        <v>27047</v>
      </c>
      <c r="J68" s="181">
        <f>IFERROR(I68/H68-1,"-")</f>
        <v>0.11286208031599743</v>
      </c>
      <c r="K68" s="165">
        <f t="shared" si="18"/>
        <v>2743</v>
      </c>
      <c r="L68" s="167">
        <f>I68/$I65</f>
        <v>0.14109466128308659</v>
      </c>
    </row>
    <row r="69" spans="1:12" x14ac:dyDescent="0.25">
      <c r="A69" s="1"/>
      <c r="B69" s="161" t="s">
        <v>110</v>
      </c>
      <c r="C69" s="162">
        <v>96976</v>
      </c>
      <c r="D69" s="162">
        <v>32294</v>
      </c>
      <c r="E69" s="162">
        <v>44672</v>
      </c>
      <c r="F69" s="162">
        <v>131408</v>
      </c>
      <c r="G69" s="162">
        <v>132587</v>
      </c>
      <c r="H69" s="162">
        <v>172728</v>
      </c>
      <c r="I69" s="162">
        <v>148102</v>
      </c>
      <c r="J69" s="180">
        <f>IFERROR(I69/H69-1,"-")</f>
        <v>-0.14257097864851098</v>
      </c>
      <c r="K69" s="161">
        <f t="shared" si="18"/>
        <v>-24626</v>
      </c>
      <c r="L69" s="163">
        <f>I69/$I65</f>
        <v>0.77259590806180689</v>
      </c>
    </row>
    <row r="70" spans="1:12" s="58" customFormat="1" x14ac:dyDescent="0.25">
      <c r="B70" s="165" t="s">
        <v>113</v>
      </c>
      <c r="C70" s="166">
        <v>41886</v>
      </c>
      <c r="D70" s="166">
        <v>14437</v>
      </c>
      <c r="E70" s="166">
        <v>12269</v>
      </c>
      <c r="F70" s="166">
        <v>56760</v>
      </c>
      <c r="G70" s="166">
        <v>50937</v>
      </c>
      <c r="H70" s="166">
        <v>74234</v>
      </c>
      <c r="I70" s="166">
        <v>74121</v>
      </c>
      <c r="J70" s="181">
        <f t="shared" ref="J70:J77" si="19">IFERROR(I70/H70-1,"-")</f>
        <v>-1.522213540965045E-3</v>
      </c>
      <c r="K70" s="165">
        <f t="shared" si="18"/>
        <v>-113</v>
      </c>
      <c r="L70" s="167">
        <f>I70/$I65</f>
        <v>0.38666311934645842</v>
      </c>
    </row>
    <row r="71" spans="1:12" s="58" customFormat="1" x14ac:dyDescent="0.25">
      <c r="B71" s="165" t="s">
        <v>116</v>
      </c>
      <c r="C71" s="166">
        <v>11748</v>
      </c>
      <c r="D71" s="166">
        <v>3402</v>
      </c>
      <c r="E71" s="166">
        <v>3758</v>
      </c>
      <c r="F71" s="166">
        <v>7893</v>
      </c>
      <c r="G71" s="166">
        <v>11764</v>
      </c>
      <c r="H71" s="166">
        <v>10979</v>
      </c>
      <c r="I71" s="166">
        <v>10869</v>
      </c>
      <c r="J71" s="181">
        <f t="shared" si="19"/>
        <v>-1.0019127425084262E-2</v>
      </c>
      <c r="K71" s="165">
        <f t="shared" si="18"/>
        <v>-110</v>
      </c>
      <c r="L71" s="167">
        <f>I71/$I65</f>
        <v>5.6699740210961219E-2</v>
      </c>
    </row>
    <row r="72" spans="1:12" x14ac:dyDescent="0.25">
      <c r="A72" s="1"/>
      <c r="B72" s="165" t="s">
        <v>119</v>
      </c>
      <c r="C72" s="166">
        <v>10984</v>
      </c>
      <c r="D72" s="166">
        <v>3652</v>
      </c>
      <c r="E72" s="166">
        <v>6316</v>
      </c>
      <c r="F72" s="166">
        <v>18292</v>
      </c>
      <c r="G72" s="166">
        <v>15014</v>
      </c>
      <c r="H72" s="166">
        <v>19275</v>
      </c>
      <c r="I72" s="166">
        <v>9989</v>
      </c>
      <c r="J72" s="181">
        <f t="shared" si="19"/>
        <v>-0.48176394293125813</v>
      </c>
      <c r="K72" s="165">
        <f t="shared" si="18"/>
        <v>-9286</v>
      </c>
      <c r="L72" s="167">
        <f>I72/$I65</f>
        <v>5.2109090529698372E-2</v>
      </c>
    </row>
    <row r="73" spans="1:12" x14ac:dyDescent="0.25">
      <c r="A73" s="1"/>
      <c r="B73" s="165" t="s">
        <v>126</v>
      </c>
      <c r="C73" s="166">
        <v>1818</v>
      </c>
      <c r="D73" s="166">
        <v>479</v>
      </c>
      <c r="E73" s="166">
        <v>3888</v>
      </c>
      <c r="F73" s="166">
        <v>3841</v>
      </c>
      <c r="G73" s="166">
        <v>4002</v>
      </c>
      <c r="H73" s="166">
        <v>6545</v>
      </c>
      <c r="I73" s="166">
        <v>5786</v>
      </c>
      <c r="J73" s="181">
        <f t="shared" si="19"/>
        <v>-0.11596638655462188</v>
      </c>
      <c r="K73" s="165">
        <f t="shared" si="18"/>
        <v>-759</v>
      </c>
      <c r="L73" s="167">
        <f>I73/$I65</f>
        <v>3.0183521654303214E-2</v>
      </c>
    </row>
    <row r="74" spans="1:12" x14ac:dyDescent="0.25">
      <c r="A74" s="1"/>
      <c r="B74" s="165" t="s">
        <v>122</v>
      </c>
      <c r="C74" s="166">
        <v>2536</v>
      </c>
      <c r="D74" s="166">
        <v>1263</v>
      </c>
      <c r="E74" s="166">
        <v>2003</v>
      </c>
      <c r="F74" s="166">
        <v>3259</v>
      </c>
      <c r="G74" s="166">
        <v>2269</v>
      </c>
      <c r="H74" s="166">
        <v>4239</v>
      </c>
      <c r="I74" s="166">
        <v>3160</v>
      </c>
      <c r="J74" s="181">
        <f t="shared" si="19"/>
        <v>-0.2545411653691908</v>
      </c>
      <c r="K74" s="165">
        <f t="shared" si="18"/>
        <v>-1079</v>
      </c>
      <c r="L74" s="167">
        <f>I74/$I65</f>
        <v>1.6484605673625675E-2</v>
      </c>
    </row>
    <row r="75" spans="1:12" x14ac:dyDescent="0.25">
      <c r="A75" s="1"/>
      <c r="B75" s="165" t="s">
        <v>131</v>
      </c>
      <c r="C75" s="166">
        <v>2206</v>
      </c>
      <c r="D75" s="166">
        <v>765</v>
      </c>
      <c r="E75" s="166">
        <v>1848</v>
      </c>
      <c r="F75" s="166">
        <v>3131</v>
      </c>
      <c r="G75" s="166">
        <v>3796</v>
      </c>
      <c r="H75" s="166">
        <v>3211</v>
      </c>
      <c r="I75" s="166">
        <v>2204</v>
      </c>
      <c r="J75" s="181">
        <f t="shared" si="19"/>
        <v>-0.31360946745562135</v>
      </c>
      <c r="K75" s="165">
        <f t="shared" si="18"/>
        <v>-1007</v>
      </c>
      <c r="L75" s="167">
        <f>I75/$I65</f>
        <v>1.1497490792617401E-2</v>
      </c>
    </row>
    <row r="76" spans="1:12" x14ac:dyDescent="0.25">
      <c r="A76" s="164" t="s">
        <v>147</v>
      </c>
      <c r="B76" s="165" t="s">
        <v>134</v>
      </c>
      <c r="C76" s="166">
        <v>2361</v>
      </c>
      <c r="D76" s="166">
        <v>990</v>
      </c>
      <c r="E76" s="166">
        <v>363</v>
      </c>
      <c r="F76" s="166">
        <v>1012</v>
      </c>
      <c r="G76" s="166">
        <v>1155</v>
      </c>
      <c r="H76" s="166">
        <v>3205</v>
      </c>
      <c r="I76" s="166">
        <v>3381</v>
      </c>
      <c r="J76" s="181">
        <f t="shared" si="19"/>
        <v>5.4914196567862783E-2</v>
      </c>
      <c r="K76" s="165">
        <f t="shared" si="18"/>
        <v>176</v>
      </c>
      <c r="L76" s="167">
        <f>I76/$I65</f>
        <v>1.7637484741306456E-2</v>
      </c>
    </row>
    <row r="77" spans="1:12" x14ac:dyDescent="0.25">
      <c r="A77" s="169" t="s">
        <v>148</v>
      </c>
      <c r="B77" s="170" t="s">
        <v>148</v>
      </c>
      <c r="C77" s="171">
        <f t="shared" ref="C77:I77" si="20">C69-SUM(C70:C76)</f>
        <v>23437</v>
      </c>
      <c r="D77" s="171">
        <f t="shared" si="20"/>
        <v>7306</v>
      </c>
      <c r="E77" s="171">
        <f t="shared" si="20"/>
        <v>14227</v>
      </c>
      <c r="F77" s="171">
        <f t="shared" si="20"/>
        <v>37220</v>
      </c>
      <c r="G77" s="171">
        <f t="shared" si="20"/>
        <v>43650</v>
      </c>
      <c r="H77" s="171">
        <f t="shared" si="20"/>
        <v>51040</v>
      </c>
      <c r="I77" s="171">
        <f t="shared" si="20"/>
        <v>38592</v>
      </c>
      <c r="J77" s="182">
        <f t="shared" si="19"/>
        <v>-0.24388714733542316</v>
      </c>
      <c r="K77" s="170">
        <f>I77-H77</f>
        <v>-12448</v>
      </c>
      <c r="L77" s="172">
        <f>I77/$I65</f>
        <v>0.20132085511283609</v>
      </c>
    </row>
    <row r="78" spans="1:12" x14ac:dyDescent="0.25">
      <c r="A78" s="1"/>
      <c r="B78" s="157" t="s">
        <v>51</v>
      </c>
      <c r="C78" s="155"/>
      <c r="D78" s="155"/>
      <c r="E78" s="155"/>
      <c r="F78" s="155"/>
      <c r="G78" s="155"/>
      <c r="H78" s="155"/>
      <c r="I78" s="155"/>
      <c r="J78" s="156"/>
      <c r="K78" s="156"/>
      <c r="L78" s="155"/>
    </row>
    <row r="79" spans="1:12" x14ac:dyDescent="0.25">
      <c r="A79" s="1"/>
      <c r="B79" s="158" t="s">
        <v>71</v>
      </c>
      <c r="C79" s="178">
        <v>806433</v>
      </c>
      <c r="D79" s="178">
        <v>226570</v>
      </c>
      <c r="E79" s="178">
        <v>355287</v>
      </c>
      <c r="F79" s="178">
        <v>720575</v>
      </c>
      <c r="G79" s="178">
        <v>813714</v>
      </c>
      <c r="H79" s="178">
        <v>930653</v>
      </c>
      <c r="I79" s="178">
        <v>952676</v>
      </c>
      <c r="J79" s="179">
        <f>IFERROR(I79/H79-1,"-")</f>
        <v>2.3664029450289226E-2</v>
      </c>
      <c r="K79" s="178">
        <f>I79-H79</f>
        <v>22023</v>
      </c>
      <c r="L79" s="179">
        <f>I79/$I79</f>
        <v>1</v>
      </c>
    </row>
    <row r="80" spans="1:12" x14ac:dyDescent="0.25">
      <c r="A80" s="1" t="s">
        <v>99</v>
      </c>
      <c r="B80" s="161" t="s">
        <v>100</v>
      </c>
      <c r="C80" s="162">
        <v>359704</v>
      </c>
      <c r="D80" s="162">
        <v>97883</v>
      </c>
      <c r="E80" s="162">
        <v>181937</v>
      </c>
      <c r="F80" s="162">
        <v>344530</v>
      </c>
      <c r="G80" s="162">
        <v>347137</v>
      </c>
      <c r="H80" s="162">
        <v>385380</v>
      </c>
      <c r="I80" s="162">
        <v>401432</v>
      </c>
      <c r="J80" s="180">
        <f>IFERROR(I80/H80-1,"-")</f>
        <v>4.1652395038663137E-2</v>
      </c>
      <c r="K80" s="161">
        <f t="shared" ref="K80:K90" si="21">I80-H80</f>
        <v>16052</v>
      </c>
      <c r="L80" s="163">
        <f>I80/$I79</f>
        <v>0.42137305862643754</v>
      </c>
    </row>
    <row r="81" spans="1:12" x14ac:dyDescent="0.25">
      <c r="A81" s="164" t="s">
        <v>106</v>
      </c>
      <c r="B81" s="165" t="s">
        <v>106</v>
      </c>
      <c r="C81" s="166">
        <v>72375</v>
      </c>
      <c r="D81" s="166">
        <v>25782</v>
      </c>
      <c r="E81" s="166">
        <v>67081</v>
      </c>
      <c r="F81" s="166">
        <v>97691</v>
      </c>
      <c r="G81" s="166">
        <v>93289</v>
      </c>
      <c r="H81" s="166">
        <v>106751</v>
      </c>
      <c r="I81" s="166">
        <v>104455</v>
      </c>
      <c r="J81" s="181">
        <f>IFERROR(I81/H81-1,"-")</f>
        <v>-2.1507995241262345E-2</v>
      </c>
      <c r="K81" s="165">
        <f t="shared" si="21"/>
        <v>-2296</v>
      </c>
      <c r="L81" s="167">
        <f>I81/$I79</f>
        <v>0.10964378235622604</v>
      </c>
    </row>
    <row r="82" spans="1:12" x14ac:dyDescent="0.25">
      <c r="A82" s="164" t="s">
        <v>103</v>
      </c>
      <c r="B82" s="165" t="s">
        <v>103</v>
      </c>
      <c r="C82" s="166">
        <v>287329</v>
      </c>
      <c r="D82" s="166">
        <v>72101</v>
      </c>
      <c r="E82" s="166">
        <v>114856</v>
      </c>
      <c r="F82" s="166">
        <v>246839</v>
      </c>
      <c r="G82" s="166">
        <v>253848</v>
      </c>
      <c r="H82" s="166">
        <v>278629</v>
      </c>
      <c r="I82" s="166">
        <v>296977</v>
      </c>
      <c r="J82" s="181">
        <f>IFERROR(I82/H82-1,"-")</f>
        <v>6.5851006176672167E-2</v>
      </c>
      <c r="K82" s="165">
        <f t="shared" si="21"/>
        <v>18348</v>
      </c>
      <c r="L82" s="167">
        <f>I82/$I79</f>
        <v>0.31172927627021146</v>
      </c>
    </row>
    <row r="83" spans="1:12" x14ac:dyDescent="0.25">
      <c r="A83" s="1"/>
      <c r="B83" s="161" t="s">
        <v>110</v>
      </c>
      <c r="C83" s="162">
        <v>446729</v>
      </c>
      <c r="D83" s="162">
        <v>128687</v>
      </c>
      <c r="E83" s="162">
        <v>173350</v>
      </c>
      <c r="F83" s="162">
        <v>376045</v>
      </c>
      <c r="G83" s="162">
        <v>466577</v>
      </c>
      <c r="H83" s="162">
        <v>545273</v>
      </c>
      <c r="I83" s="162">
        <v>551244</v>
      </c>
      <c r="J83" s="180">
        <f>IFERROR(I83/H83-1,"-")</f>
        <v>1.0950478017433429E-2</v>
      </c>
      <c r="K83" s="161">
        <f t="shared" si="21"/>
        <v>5971</v>
      </c>
      <c r="L83" s="163">
        <f>I83/$I79</f>
        <v>0.57862694137356252</v>
      </c>
    </row>
    <row r="84" spans="1:12" s="58" customFormat="1" x14ac:dyDescent="0.25">
      <c r="B84" s="165" t="s">
        <v>113</v>
      </c>
      <c r="C84" s="166">
        <v>76312</v>
      </c>
      <c r="D84" s="166">
        <v>21407</v>
      </c>
      <c r="E84" s="166">
        <v>16831</v>
      </c>
      <c r="F84" s="166">
        <v>72242</v>
      </c>
      <c r="G84" s="166">
        <v>95918</v>
      </c>
      <c r="H84" s="166">
        <v>112291</v>
      </c>
      <c r="I84" s="166">
        <v>117784</v>
      </c>
      <c r="J84" s="181">
        <f t="shared" ref="J84:J91" si="22">IFERROR(I84/H84-1,"-")</f>
        <v>4.8917544593956697E-2</v>
      </c>
      <c r="K84" s="165">
        <f t="shared" si="21"/>
        <v>5493</v>
      </c>
      <c r="L84" s="167">
        <f>I84/$I79</f>
        <v>0.1236348979086279</v>
      </c>
    </row>
    <row r="85" spans="1:12" s="58" customFormat="1" x14ac:dyDescent="0.25">
      <c r="B85" s="165" t="s">
        <v>116</v>
      </c>
      <c r="C85" s="166">
        <v>165058</v>
      </c>
      <c r="D85" s="166">
        <v>42850</v>
      </c>
      <c r="E85" s="166">
        <v>53608</v>
      </c>
      <c r="F85" s="166">
        <v>116860</v>
      </c>
      <c r="G85" s="166">
        <v>132043</v>
      </c>
      <c r="H85" s="166">
        <v>146632</v>
      </c>
      <c r="I85" s="166">
        <v>143822</v>
      </c>
      <c r="J85" s="181">
        <f t="shared" si="22"/>
        <v>-1.9163620492116284E-2</v>
      </c>
      <c r="K85" s="165">
        <f t="shared" si="21"/>
        <v>-2810</v>
      </c>
      <c r="L85" s="167">
        <f>I85/$I79</f>
        <v>0.15096633063077058</v>
      </c>
    </row>
    <row r="86" spans="1:12" x14ac:dyDescent="0.25">
      <c r="A86" s="1"/>
      <c r="B86" s="165" t="s">
        <v>119</v>
      </c>
      <c r="C86" s="166">
        <v>25849</v>
      </c>
      <c r="D86" s="166">
        <v>8502</v>
      </c>
      <c r="E86" s="166">
        <v>20022</v>
      </c>
      <c r="F86" s="166">
        <v>31153</v>
      </c>
      <c r="G86" s="166">
        <v>42906</v>
      </c>
      <c r="H86" s="166">
        <v>58924</v>
      </c>
      <c r="I86" s="166">
        <v>58062</v>
      </c>
      <c r="J86" s="181">
        <f t="shared" si="22"/>
        <v>-1.4629013644694822E-2</v>
      </c>
      <c r="K86" s="165">
        <f t="shared" si="21"/>
        <v>-862</v>
      </c>
      <c r="L86" s="167">
        <f>I86/$I79</f>
        <v>6.0946218861396742E-2</v>
      </c>
    </row>
    <row r="87" spans="1:12" x14ac:dyDescent="0.25">
      <c r="A87" s="1"/>
      <c r="B87" s="165" t="s">
        <v>126</v>
      </c>
      <c r="C87" s="166">
        <v>9475</v>
      </c>
      <c r="D87" s="166">
        <v>2063</v>
      </c>
      <c r="E87" s="166">
        <v>6003</v>
      </c>
      <c r="F87" s="166">
        <v>10961</v>
      </c>
      <c r="G87" s="166">
        <v>13252</v>
      </c>
      <c r="H87" s="166">
        <v>18799</v>
      </c>
      <c r="I87" s="166">
        <v>16343</v>
      </c>
      <c r="J87" s="181">
        <f t="shared" si="22"/>
        <v>-0.13064524708761105</v>
      </c>
      <c r="K87" s="165">
        <f t="shared" si="21"/>
        <v>-2456</v>
      </c>
      <c r="L87" s="167">
        <f>I87/$I79</f>
        <v>1.7154835431983172E-2</v>
      </c>
    </row>
    <row r="88" spans="1:12" x14ac:dyDescent="0.25">
      <c r="A88" s="1"/>
      <c r="B88" s="165" t="s">
        <v>122</v>
      </c>
      <c r="C88" s="166">
        <v>6356</v>
      </c>
      <c r="D88" s="166">
        <v>2135</v>
      </c>
      <c r="E88" s="166">
        <v>5208</v>
      </c>
      <c r="F88" s="166">
        <v>6016</v>
      </c>
      <c r="G88" s="166">
        <v>7139</v>
      </c>
      <c r="H88" s="166">
        <v>9111</v>
      </c>
      <c r="I88" s="166">
        <v>9742</v>
      </c>
      <c r="J88" s="181">
        <f t="shared" si="22"/>
        <v>6.9256942157831292E-2</v>
      </c>
      <c r="K88" s="165">
        <f t="shared" si="21"/>
        <v>631</v>
      </c>
      <c r="L88" s="167">
        <f>I88/$I79</f>
        <v>1.022593200626446E-2</v>
      </c>
    </row>
    <row r="89" spans="1:12" x14ac:dyDescent="0.25">
      <c r="A89" s="1"/>
      <c r="B89" s="165" t="s">
        <v>131</v>
      </c>
      <c r="C89" s="166">
        <v>8896</v>
      </c>
      <c r="D89" s="166">
        <v>3376</v>
      </c>
      <c r="E89" s="166">
        <v>2579</v>
      </c>
      <c r="F89" s="166">
        <v>7789</v>
      </c>
      <c r="G89" s="166">
        <v>8637</v>
      </c>
      <c r="H89" s="166">
        <v>7642</v>
      </c>
      <c r="I89" s="166">
        <v>8250</v>
      </c>
      <c r="J89" s="181">
        <f t="shared" si="22"/>
        <v>7.956032452237638E-2</v>
      </c>
      <c r="K89" s="165">
        <f t="shared" si="21"/>
        <v>608</v>
      </c>
      <c r="L89" s="167">
        <f>I89/$I79</f>
        <v>8.6598171886349603E-3</v>
      </c>
    </row>
    <row r="90" spans="1:12" x14ac:dyDescent="0.25">
      <c r="A90" s="164" t="s">
        <v>147</v>
      </c>
      <c r="B90" s="165" t="s">
        <v>134</v>
      </c>
      <c r="C90" s="166">
        <v>13727</v>
      </c>
      <c r="D90" s="166">
        <v>5581</v>
      </c>
      <c r="E90" s="166">
        <v>2828</v>
      </c>
      <c r="F90" s="166">
        <v>7908</v>
      </c>
      <c r="G90" s="166">
        <v>10243</v>
      </c>
      <c r="H90" s="166">
        <v>10058</v>
      </c>
      <c r="I90" s="166">
        <v>8039</v>
      </c>
      <c r="J90" s="181">
        <f t="shared" si="22"/>
        <v>-0.20073573275004974</v>
      </c>
      <c r="K90" s="165">
        <f t="shared" si="21"/>
        <v>-2019</v>
      </c>
      <c r="L90" s="167">
        <f>I90/$I79</f>
        <v>8.438335803568054E-3</v>
      </c>
    </row>
    <row r="91" spans="1:12" x14ac:dyDescent="0.25">
      <c r="A91" s="169" t="s">
        <v>148</v>
      </c>
      <c r="B91" s="170" t="s">
        <v>148</v>
      </c>
      <c r="C91" s="171">
        <f t="shared" ref="C91:H91" si="23">C83-SUM(C84:C90)</f>
        <v>141056</v>
      </c>
      <c r="D91" s="171">
        <f t="shared" si="23"/>
        <v>42773</v>
      </c>
      <c r="E91" s="171">
        <f t="shared" si="23"/>
        <v>66271</v>
      </c>
      <c r="F91" s="171">
        <f t="shared" si="23"/>
        <v>123116</v>
      </c>
      <c r="G91" s="171">
        <f t="shared" si="23"/>
        <v>156439</v>
      </c>
      <c r="H91" s="171">
        <f t="shared" si="23"/>
        <v>181816</v>
      </c>
      <c r="I91" s="171">
        <f t="shared" ref="I91" si="24">I83-SUM(I84:I90)</f>
        <v>189202</v>
      </c>
      <c r="J91" s="182">
        <f t="shared" si="22"/>
        <v>4.0623487481849851E-2</v>
      </c>
      <c r="K91" s="170">
        <f>I91-H91</f>
        <v>7386</v>
      </c>
      <c r="L91" s="172">
        <f>I91/$I79</f>
        <v>0.19860057354231658</v>
      </c>
    </row>
    <row r="92" spans="1:12" x14ac:dyDescent="0.25">
      <c r="A92" s="1"/>
      <c r="B92" s="157" t="s">
        <v>52</v>
      </c>
      <c r="C92" s="155"/>
      <c r="D92" s="155"/>
      <c r="E92" s="155"/>
      <c r="F92" s="155"/>
      <c r="G92" s="155"/>
      <c r="H92" s="155"/>
      <c r="I92" s="155"/>
      <c r="J92" s="156"/>
      <c r="K92" s="156"/>
      <c r="L92" s="155"/>
    </row>
    <row r="93" spans="1:12" x14ac:dyDescent="0.25">
      <c r="A93" s="1"/>
      <c r="B93" s="158" t="s">
        <v>71</v>
      </c>
      <c r="C93" s="178">
        <v>58393</v>
      </c>
      <c r="D93" s="178">
        <v>23723</v>
      </c>
      <c r="E93" s="178">
        <v>34780</v>
      </c>
      <c r="F93" s="178">
        <v>53822</v>
      </c>
      <c r="G93" s="178">
        <v>60906</v>
      </c>
      <c r="H93" s="178">
        <v>60178</v>
      </c>
      <c r="I93" s="178">
        <v>59478</v>
      </c>
      <c r="J93" s="179">
        <f>IFERROR(I93/H93-1,"-")</f>
        <v>-1.1632157931469989E-2</v>
      </c>
      <c r="K93" s="178">
        <f>I93-H93</f>
        <v>-700</v>
      </c>
      <c r="L93" s="179">
        <f>I93/$I93</f>
        <v>1</v>
      </c>
    </row>
    <row r="94" spans="1:12" x14ac:dyDescent="0.25">
      <c r="A94" s="1" t="s">
        <v>99</v>
      </c>
      <c r="B94" s="161" t="s">
        <v>100</v>
      </c>
      <c r="C94" s="162">
        <v>38149</v>
      </c>
      <c r="D94" s="162">
        <v>15260</v>
      </c>
      <c r="E94" s="162">
        <v>22124</v>
      </c>
      <c r="F94" s="162">
        <v>34543</v>
      </c>
      <c r="G94" s="162">
        <v>38696</v>
      </c>
      <c r="H94" s="162">
        <v>36730</v>
      </c>
      <c r="I94" s="162">
        <v>36670</v>
      </c>
      <c r="J94" s="180">
        <f>IFERROR(I94/H94-1,"-")</f>
        <v>-1.6335420637081377E-3</v>
      </c>
      <c r="K94" s="161">
        <f t="shared" ref="K94:K104" si="25">I94-H94</f>
        <v>-60</v>
      </c>
      <c r="L94" s="163">
        <f>I94/$I93</f>
        <v>0.61653048185883852</v>
      </c>
    </row>
    <row r="95" spans="1:12" x14ac:dyDescent="0.25">
      <c r="A95" s="164" t="s">
        <v>106</v>
      </c>
      <c r="B95" s="165" t="s">
        <v>106</v>
      </c>
      <c r="C95" s="166">
        <v>19575</v>
      </c>
      <c r="D95" s="166">
        <v>8252</v>
      </c>
      <c r="E95" s="166">
        <v>11116</v>
      </c>
      <c r="F95" s="166">
        <v>16275</v>
      </c>
      <c r="G95" s="166">
        <v>12241</v>
      </c>
      <c r="H95" s="166">
        <v>12042</v>
      </c>
      <c r="I95" s="166">
        <v>14077</v>
      </c>
      <c r="J95" s="181">
        <f>IFERROR(I95/H95-1,"-")</f>
        <v>0.1689918618169739</v>
      </c>
      <c r="K95" s="165">
        <f t="shared" si="25"/>
        <v>2035</v>
      </c>
      <c r="L95" s="167">
        <f>I95/$I93</f>
        <v>0.23667574565385521</v>
      </c>
    </row>
    <row r="96" spans="1:12" x14ac:dyDescent="0.25">
      <c r="A96" s="164" t="s">
        <v>103</v>
      </c>
      <c r="B96" s="165" t="s">
        <v>103</v>
      </c>
      <c r="C96" s="166">
        <v>18574</v>
      </c>
      <c r="D96" s="166">
        <v>7008</v>
      </c>
      <c r="E96" s="166">
        <v>11008</v>
      </c>
      <c r="F96" s="166">
        <v>18268</v>
      </c>
      <c r="G96" s="166">
        <v>26455</v>
      </c>
      <c r="H96" s="166">
        <v>24688</v>
      </c>
      <c r="I96" s="166">
        <v>22593</v>
      </c>
      <c r="J96" s="181">
        <f>IFERROR(I96/H96-1,"-")</f>
        <v>-8.4859040829552868E-2</v>
      </c>
      <c r="K96" s="165">
        <f t="shared" si="25"/>
        <v>-2095</v>
      </c>
      <c r="L96" s="167">
        <f>I96/$I93</f>
        <v>0.37985473620498333</v>
      </c>
    </row>
    <row r="97" spans="1:12" x14ac:dyDescent="0.25">
      <c r="A97" s="1"/>
      <c r="B97" s="161" t="s">
        <v>110</v>
      </c>
      <c r="C97" s="162">
        <v>20244</v>
      </c>
      <c r="D97" s="162">
        <v>8463</v>
      </c>
      <c r="E97" s="162">
        <v>12656</v>
      </c>
      <c r="F97" s="162">
        <v>19279</v>
      </c>
      <c r="G97" s="162">
        <v>22210</v>
      </c>
      <c r="H97" s="162">
        <v>23448</v>
      </c>
      <c r="I97" s="162">
        <v>22808</v>
      </c>
      <c r="J97" s="180">
        <f>IFERROR(I97/H97-1,"-")</f>
        <v>-2.7294438758103001E-2</v>
      </c>
      <c r="K97" s="161">
        <f t="shared" si="25"/>
        <v>-640</v>
      </c>
      <c r="L97" s="163">
        <f>I97/$I93</f>
        <v>0.38346951814116143</v>
      </c>
    </row>
    <row r="98" spans="1:12" s="58" customFormat="1" x14ac:dyDescent="0.25">
      <c r="B98" s="165" t="s">
        <v>113</v>
      </c>
      <c r="C98" s="166">
        <v>2572</v>
      </c>
      <c r="D98" s="166">
        <v>1373</v>
      </c>
      <c r="E98" s="166">
        <v>1001</v>
      </c>
      <c r="F98" s="166">
        <v>2638</v>
      </c>
      <c r="G98" s="166">
        <v>3128</v>
      </c>
      <c r="H98" s="166">
        <v>3308</v>
      </c>
      <c r="I98" s="166">
        <v>2774</v>
      </c>
      <c r="J98" s="181">
        <f t="shared" ref="J98:J105" si="26">IFERROR(I98/H98-1,"-")</f>
        <v>-0.16142684401451024</v>
      </c>
      <c r="K98" s="165">
        <f t="shared" si="25"/>
        <v>-534</v>
      </c>
      <c r="L98" s="167">
        <f>I98/$I93</f>
        <v>4.6639093446316282E-2</v>
      </c>
    </row>
    <row r="99" spans="1:12" s="58" customFormat="1" x14ac:dyDescent="0.25">
      <c r="B99" s="165" t="s">
        <v>116</v>
      </c>
      <c r="C99" s="166">
        <v>4530</v>
      </c>
      <c r="D99" s="166">
        <v>1673</v>
      </c>
      <c r="E99" s="166">
        <v>2803</v>
      </c>
      <c r="F99" s="166">
        <v>4064</v>
      </c>
      <c r="G99" s="166">
        <v>4429</v>
      </c>
      <c r="H99" s="166">
        <v>4895</v>
      </c>
      <c r="I99" s="166">
        <v>4616</v>
      </c>
      <c r="J99" s="181">
        <f t="shared" si="26"/>
        <v>-5.6996935648621072E-2</v>
      </c>
      <c r="K99" s="165">
        <f t="shared" si="25"/>
        <v>-279</v>
      </c>
      <c r="L99" s="167">
        <f>I99/$I93</f>
        <v>7.7608527522781537E-2</v>
      </c>
    </row>
    <row r="100" spans="1:12" x14ac:dyDescent="0.25">
      <c r="A100" s="1"/>
      <c r="B100" s="165" t="s">
        <v>119</v>
      </c>
      <c r="C100" s="166">
        <v>4017</v>
      </c>
      <c r="D100" s="166">
        <v>1976</v>
      </c>
      <c r="E100" s="166">
        <v>3669</v>
      </c>
      <c r="F100" s="166">
        <v>3550</v>
      </c>
      <c r="G100" s="166">
        <v>4014</v>
      </c>
      <c r="H100" s="166">
        <v>3859</v>
      </c>
      <c r="I100" s="166">
        <v>3841</v>
      </c>
      <c r="J100" s="181">
        <f t="shared" si="26"/>
        <v>-4.6644208344130966E-3</v>
      </c>
      <c r="K100" s="165">
        <f t="shared" si="25"/>
        <v>-18</v>
      </c>
      <c r="L100" s="167">
        <f>I100/$I93</f>
        <v>6.4578499613302393E-2</v>
      </c>
    </row>
    <row r="101" spans="1:12" x14ac:dyDescent="0.25">
      <c r="A101" s="1"/>
      <c r="B101" s="165" t="s">
        <v>126</v>
      </c>
      <c r="C101" s="166">
        <v>755</v>
      </c>
      <c r="D101" s="166">
        <v>335</v>
      </c>
      <c r="E101" s="166">
        <v>459</v>
      </c>
      <c r="F101" s="166">
        <v>1303</v>
      </c>
      <c r="G101" s="166">
        <v>1030</v>
      </c>
      <c r="H101" s="166">
        <v>1034</v>
      </c>
      <c r="I101" s="166">
        <v>957</v>
      </c>
      <c r="J101" s="181">
        <f t="shared" si="26"/>
        <v>-7.4468085106383031E-2</v>
      </c>
      <c r="K101" s="165">
        <f t="shared" si="25"/>
        <v>-77</v>
      </c>
      <c r="L101" s="167">
        <f>I101/$I93</f>
        <v>1.6089982850801977E-2</v>
      </c>
    </row>
    <row r="102" spans="1:12" x14ac:dyDescent="0.25">
      <c r="A102" s="1"/>
      <c r="B102" s="165" t="s">
        <v>122</v>
      </c>
      <c r="C102" s="166">
        <v>541</v>
      </c>
      <c r="D102" s="166">
        <v>338</v>
      </c>
      <c r="E102" s="166">
        <v>539</v>
      </c>
      <c r="F102" s="166">
        <v>726</v>
      </c>
      <c r="G102" s="166">
        <v>692</v>
      </c>
      <c r="H102" s="166">
        <v>954</v>
      </c>
      <c r="I102" s="166">
        <v>909</v>
      </c>
      <c r="J102" s="181">
        <f t="shared" si="26"/>
        <v>-4.7169811320754707E-2</v>
      </c>
      <c r="K102" s="165">
        <f t="shared" si="25"/>
        <v>-45</v>
      </c>
      <c r="L102" s="167">
        <f>I102/$I93</f>
        <v>1.5282961767376172E-2</v>
      </c>
    </row>
    <row r="103" spans="1:12" x14ac:dyDescent="0.25">
      <c r="A103" s="1"/>
      <c r="B103" s="165" t="s">
        <v>131</v>
      </c>
      <c r="C103" s="166">
        <v>174</v>
      </c>
      <c r="D103" s="166">
        <v>133</v>
      </c>
      <c r="E103" s="166">
        <v>106</v>
      </c>
      <c r="F103" s="166">
        <v>276</v>
      </c>
      <c r="G103" s="166">
        <v>157</v>
      </c>
      <c r="H103" s="166">
        <v>244</v>
      </c>
      <c r="I103" s="166">
        <v>189</v>
      </c>
      <c r="J103" s="181">
        <f t="shared" si="26"/>
        <v>-0.22540983606557374</v>
      </c>
      <c r="K103" s="165">
        <f t="shared" si="25"/>
        <v>-55</v>
      </c>
      <c r="L103" s="167">
        <f>I103/$I93</f>
        <v>3.1776455159891054E-3</v>
      </c>
    </row>
    <row r="104" spans="1:12" x14ac:dyDescent="0.25">
      <c r="A104" s="164" t="s">
        <v>147</v>
      </c>
      <c r="B104" s="165" t="s">
        <v>134</v>
      </c>
      <c r="C104" s="166">
        <v>284</v>
      </c>
      <c r="D104" s="166">
        <v>96</v>
      </c>
      <c r="E104" s="166">
        <v>102</v>
      </c>
      <c r="F104" s="166">
        <v>170</v>
      </c>
      <c r="G104" s="166">
        <v>287</v>
      </c>
      <c r="H104" s="166">
        <v>442</v>
      </c>
      <c r="I104" s="166">
        <v>250</v>
      </c>
      <c r="J104" s="181">
        <f t="shared" si="26"/>
        <v>-0.43438914027149322</v>
      </c>
      <c r="K104" s="165">
        <f t="shared" si="25"/>
        <v>-192</v>
      </c>
      <c r="L104" s="167">
        <f>I104/$I93</f>
        <v>4.203234809509398E-3</v>
      </c>
    </row>
    <row r="105" spans="1:12" x14ac:dyDescent="0.25">
      <c r="A105" s="169" t="s">
        <v>148</v>
      </c>
      <c r="B105" s="170" t="s">
        <v>148</v>
      </c>
      <c r="C105" s="171">
        <f t="shared" ref="C105" si="27">C97-SUM(C98:C104)</f>
        <v>7371</v>
      </c>
      <c r="D105" s="171">
        <f t="shared" ref="D105:I105" si="28">D97-SUM(D98:D104)</f>
        <v>2539</v>
      </c>
      <c r="E105" s="171">
        <f t="shared" si="28"/>
        <v>3977</v>
      </c>
      <c r="F105" s="171">
        <f t="shared" si="28"/>
        <v>6552</v>
      </c>
      <c r="G105" s="171">
        <f t="shared" si="28"/>
        <v>8473</v>
      </c>
      <c r="H105" s="171">
        <f t="shared" si="28"/>
        <v>8712</v>
      </c>
      <c r="I105" s="171">
        <f t="shared" si="28"/>
        <v>9272</v>
      </c>
      <c r="J105" s="182">
        <f t="shared" si="26"/>
        <v>6.4279155188246007E-2</v>
      </c>
      <c r="K105" s="170">
        <f>I105-H105</f>
        <v>560</v>
      </c>
      <c r="L105" s="172">
        <f>I105/$I93</f>
        <v>0.15588957261508457</v>
      </c>
    </row>
    <row r="106" spans="1:12" x14ac:dyDescent="0.25">
      <c r="A106" s="1"/>
      <c r="B106" s="157" t="s">
        <v>53</v>
      </c>
      <c r="C106" s="155"/>
      <c r="D106" s="155"/>
      <c r="E106" s="155"/>
      <c r="F106" s="155"/>
      <c r="G106" s="155"/>
      <c r="H106" s="155"/>
      <c r="I106" s="155"/>
      <c r="J106" s="156"/>
      <c r="K106" s="156"/>
      <c r="L106" s="155"/>
    </row>
    <row r="107" spans="1:12" x14ac:dyDescent="0.25">
      <c r="A107" s="1"/>
      <c r="B107" s="158" t="s">
        <v>71</v>
      </c>
      <c r="C107" s="178">
        <v>146100</v>
      </c>
      <c r="D107" s="178">
        <v>79584</v>
      </c>
      <c r="E107" s="178">
        <v>108554</v>
      </c>
      <c r="F107" s="178">
        <v>202302</v>
      </c>
      <c r="G107" s="178">
        <v>255835</v>
      </c>
      <c r="H107" s="178">
        <v>243005</v>
      </c>
      <c r="I107" s="178">
        <v>254126</v>
      </c>
      <c r="J107" s="179">
        <f>IFERROR(I107/H107-1,"-")</f>
        <v>4.5764490442583572E-2</v>
      </c>
      <c r="K107" s="178">
        <f>I107-H107</f>
        <v>11121</v>
      </c>
      <c r="L107" s="179">
        <f>I107/$I107</f>
        <v>1</v>
      </c>
    </row>
    <row r="108" spans="1:12" x14ac:dyDescent="0.25">
      <c r="A108" s="1" t="s">
        <v>99</v>
      </c>
      <c r="B108" s="161" t="s">
        <v>100</v>
      </c>
      <c r="C108" s="162">
        <v>31233</v>
      </c>
      <c r="D108" s="162">
        <v>31230</v>
      </c>
      <c r="E108" s="162">
        <v>44464</v>
      </c>
      <c r="F108" s="162">
        <v>49222</v>
      </c>
      <c r="G108" s="162">
        <v>56357</v>
      </c>
      <c r="H108" s="162">
        <v>50393</v>
      </c>
      <c r="I108" s="162">
        <v>52622</v>
      </c>
      <c r="J108" s="180">
        <f>IFERROR(I108/H108-1,"-")</f>
        <v>4.4232333855892758E-2</v>
      </c>
      <c r="K108" s="161">
        <f t="shared" ref="K108:K118" si="29">I108-H108</f>
        <v>2229</v>
      </c>
      <c r="L108" s="163">
        <f>I108/$I107</f>
        <v>0.20707050833051321</v>
      </c>
    </row>
    <row r="109" spans="1:12" x14ac:dyDescent="0.25">
      <c r="A109" s="164" t="s">
        <v>106</v>
      </c>
      <c r="B109" s="165" t="s">
        <v>106</v>
      </c>
      <c r="C109" s="166">
        <v>11973</v>
      </c>
      <c r="D109" s="166">
        <v>4868</v>
      </c>
      <c r="E109" s="166">
        <v>24125</v>
      </c>
      <c r="F109" s="166">
        <v>16615</v>
      </c>
      <c r="G109" s="166">
        <v>19697</v>
      </c>
      <c r="H109" s="166">
        <v>16175</v>
      </c>
      <c r="I109" s="166">
        <v>20586</v>
      </c>
      <c r="J109" s="181">
        <f>IFERROR(I109/H109-1,"-")</f>
        <v>0.27270479134466763</v>
      </c>
      <c r="K109" s="165">
        <f t="shared" si="29"/>
        <v>4411</v>
      </c>
      <c r="L109" s="167">
        <f>I109/$I107</f>
        <v>8.1007059490174171E-2</v>
      </c>
    </row>
    <row r="110" spans="1:12" x14ac:dyDescent="0.25">
      <c r="A110" s="164" t="s">
        <v>103</v>
      </c>
      <c r="B110" s="165" t="s">
        <v>103</v>
      </c>
      <c r="C110" s="166">
        <v>19260</v>
      </c>
      <c r="D110" s="166">
        <v>26362</v>
      </c>
      <c r="E110" s="166">
        <v>20339</v>
      </c>
      <c r="F110" s="166">
        <v>32607</v>
      </c>
      <c r="G110" s="166">
        <v>36660</v>
      </c>
      <c r="H110" s="166">
        <v>34218</v>
      </c>
      <c r="I110" s="166">
        <v>32036</v>
      </c>
      <c r="J110" s="181">
        <f>IFERROR(I110/H110-1,"-")</f>
        <v>-6.3767607691858075E-2</v>
      </c>
      <c r="K110" s="165">
        <f t="shared" si="29"/>
        <v>-2182</v>
      </c>
      <c r="L110" s="167">
        <f>I110/$I107</f>
        <v>0.12606344884033904</v>
      </c>
    </row>
    <row r="111" spans="1:12" x14ac:dyDescent="0.25">
      <c r="A111" s="1"/>
      <c r="B111" s="161" t="s">
        <v>110</v>
      </c>
      <c r="C111" s="162">
        <v>114867</v>
      </c>
      <c r="D111" s="162">
        <v>48354</v>
      </c>
      <c r="E111" s="162">
        <v>64090</v>
      </c>
      <c r="F111" s="162">
        <v>153080</v>
      </c>
      <c r="G111" s="162">
        <v>199478</v>
      </c>
      <c r="H111" s="162">
        <v>192612</v>
      </c>
      <c r="I111" s="162">
        <v>201504</v>
      </c>
      <c r="J111" s="180">
        <f>IFERROR(I111/H111-1,"-")</f>
        <v>4.616534795339855E-2</v>
      </c>
      <c r="K111" s="161">
        <f t="shared" si="29"/>
        <v>8892</v>
      </c>
      <c r="L111" s="163">
        <f>I111/$I107</f>
        <v>0.79292949166948679</v>
      </c>
    </row>
    <row r="112" spans="1:12" s="58" customFormat="1" x14ac:dyDescent="0.25">
      <c r="B112" s="165" t="s">
        <v>113</v>
      </c>
      <c r="C112" s="166">
        <v>62499</v>
      </c>
      <c r="D112" s="166">
        <v>26751</v>
      </c>
      <c r="E112" s="166">
        <v>27639</v>
      </c>
      <c r="F112" s="166">
        <v>92419</v>
      </c>
      <c r="G112" s="166">
        <v>129631</v>
      </c>
      <c r="H112" s="166">
        <v>118675</v>
      </c>
      <c r="I112" s="166">
        <v>119894</v>
      </c>
      <c r="J112" s="181">
        <f t="shared" ref="J112:J119" si="30">IFERROR(I112/H112-1,"-")</f>
        <v>1.0271750579313288E-2</v>
      </c>
      <c r="K112" s="165">
        <f t="shared" si="29"/>
        <v>1219</v>
      </c>
      <c r="L112" s="167">
        <f>I112/$I107</f>
        <v>0.47178958469420679</v>
      </c>
    </row>
    <row r="113" spans="1:12" s="58" customFormat="1" x14ac:dyDescent="0.25">
      <c r="B113" s="165" t="s">
        <v>116</v>
      </c>
      <c r="C113" s="166">
        <v>10280</v>
      </c>
      <c r="D113" s="166">
        <v>3433</v>
      </c>
      <c r="E113" s="166">
        <v>7252</v>
      </c>
      <c r="F113" s="166">
        <v>7078</v>
      </c>
      <c r="G113" s="166">
        <v>9021</v>
      </c>
      <c r="H113" s="166">
        <v>8634</v>
      </c>
      <c r="I113" s="166">
        <v>10075</v>
      </c>
      <c r="J113" s="181">
        <f t="shared" si="30"/>
        <v>0.16689830901088709</v>
      </c>
      <c r="K113" s="165">
        <f t="shared" si="29"/>
        <v>1441</v>
      </c>
      <c r="L113" s="167">
        <f>I113/$I107</f>
        <v>3.9645687572306652E-2</v>
      </c>
    </row>
    <row r="114" spans="1:12" x14ac:dyDescent="0.25">
      <c r="A114" s="1"/>
      <c r="B114" s="165" t="s">
        <v>119</v>
      </c>
      <c r="C114" s="166">
        <v>11865</v>
      </c>
      <c r="D114" s="166">
        <v>2618</v>
      </c>
      <c r="E114" s="166">
        <v>6805</v>
      </c>
      <c r="F114" s="166">
        <v>9957</v>
      </c>
      <c r="G114" s="166">
        <v>13533</v>
      </c>
      <c r="H114" s="166">
        <v>14426</v>
      </c>
      <c r="I114" s="166">
        <v>15841</v>
      </c>
      <c r="J114" s="181">
        <f t="shared" si="30"/>
        <v>9.8086787744350534E-2</v>
      </c>
      <c r="K114" s="165">
        <f t="shared" si="29"/>
        <v>1415</v>
      </c>
      <c r="L114" s="167">
        <f>I114/$I107</f>
        <v>6.2335219536765227E-2</v>
      </c>
    </row>
    <row r="115" spans="1:12" x14ac:dyDescent="0.25">
      <c r="A115" s="1"/>
      <c r="B115" s="165" t="s">
        <v>126</v>
      </c>
      <c r="C115" s="166">
        <v>2538</v>
      </c>
      <c r="D115" s="166">
        <v>1307</v>
      </c>
      <c r="E115" s="166">
        <v>3663</v>
      </c>
      <c r="F115" s="166">
        <v>6446</v>
      </c>
      <c r="G115" s="166">
        <v>6578</v>
      </c>
      <c r="H115" s="166">
        <v>6559</v>
      </c>
      <c r="I115" s="166">
        <v>6478</v>
      </c>
      <c r="J115" s="181">
        <f t="shared" si="30"/>
        <v>-1.2349443512730596E-2</v>
      </c>
      <c r="K115" s="165">
        <f t="shared" si="29"/>
        <v>-81</v>
      </c>
      <c r="L115" s="167">
        <f>I115/$I107</f>
        <v>2.5491291721429526E-2</v>
      </c>
    </row>
    <row r="116" spans="1:12" x14ac:dyDescent="0.25">
      <c r="A116" s="1"/>
      <c r="B116" s="165" t="s">
        <v>122</v>
      </c>
      <c r="C116" s="166">
        <v>3881</v>
      </c>
      <c r="D116" s="166">
        <v>2888</v>
      </c>
      <c r="E116" s="166">
        <v>4378</v>
      </c>
      <c r="F116" s="166">
        <v>4936</v>
      </c>
      <c r="G116" s="166">
        <v>5433</v>
      </c>
      <c r="H116" s="166">
        <v>5255</v>
      </c>
      <c r="I116" s="166">
        <v>4942</v>
      </c>
      <c r="J116" s="181">
        <f t="shared" si="30"/>
        <v>-5.956232159847763E-2</v>
      </c>
      <c r="K116" s="165">
        <f t="shared" si="29"/>
        <v>-313</v>
      </c>
      <c r="L116" s="167">
        <f>I116/$I107</f>
        <v>1.9447045953582081E-2</v>
      </c>
    </row>
    <row r="117" spans="1:12" x14ac:dyDescent="0.25">
      <c r="A117" s="1"/>
      <c r="B117" s="165" t="s">
        <v>131</v>
      </c>
      <c r="C117" s="166">
        <v>835</v>
      </c>
      <c r="D117" s="166">
        <v>432</v>
      </c>
      <c r="E117" s="166">
        <v>369</v>
      </c>
      <c r="F117" s="166">
        <v>1303</v>
      </c>
      <c r="G117" s="166">
        <v>1474</v>
      </c>
      <c r="H117" s="166">
        <v>1240</v>
      </c>
      <c r="I117" s="166">
        <v>1383</v>
      </c>
      <c r="J117" s="181">
        <f t="shared" si="30"/>
        <v>0.11532258064516121</v>
      </c>
      <c r="K117" s="165">
        <f t="shared" si="29"/>
        <v>143</v>
      </c>
      <c r="L117" s="167">
        <f>I117/$I107</f>
        <v>5.4421822245657664E-3</v>
      </c>
    </row>
    <row r="118" spans="1:12" x14ac:dyDescent="0.25">
      <c r="A118" s="164" t="s">
        <v>147</v>
      </c>
      <c r="B118" s="165" t="s">
        <v>134</v>
      </c>
      <c r="C118" s="166">
        <v>1737</v>
      </c>
      <c r="D118" s="166">
        <v>1058</v>
      </c>
      <c r="E118" s="166">
        <v>521</v>
      </c>
      <c r="F118" s="166">
        <v>1015</v>
      </c>
      <c r="G118" s="166">
        <v>975</v>
      </c>
      <c r="H118" s="166">
        <v>1554</v>
      </c>
      <c r="I118" s="166">
        <v>1037</v>
      </c>
      <c r="J118" s="181">
        <f t="shared" si="30"/>
        <v>-0.33268983268983265</v>
      </c>
      <c r="K118" s="165">
        <f t="shared" si="29"/>
        <v>-517</v>
      </c>
      <c r="L118" s="167">
        <f>I118/$I107</f>
        <v>4.0806529044647146E-3</v>
      </c>
    </row>
    <row r="119" spans="1:12" x14ac:dyDescent="0.25">
      <c r="A119" s="169" t="s">
        <v>148</v>
      </c>
      <c r="B119" s="170" t="s">
        <v>148</v>
      </c>
      <c r="C119" s="171">
        <f t="shared" ref="C119:I119" si="31">C111-SUM(C112:C118)</f>
        <v>21232</v>
      </c>
      <c r="D119" s="171">
        <f t="shared" si="31"/>
        <v>9867</v>
      </c>
      <c r="E119" s="171">
        <f t="shared" si="31"/>
        <v>13463</v>
      </c>
      <c r="F119" s="171">
        <f t="shared" si="31"/>
        <v>29926</v>
      </c>
      <c r="G119" s="171">
        <f t="shared" si="31"/>
        <v>32833</v>
      </c>
      <c r="H119" s="171">
        <f t="shared" si="31"/>
        <v>36269</v>
      </c>
      <c r="I119" s="171">
        <f t="shared" si="31"/>
        <v>41854</v>
      </c>
      <c r="J119" s="182">
        <f t="shared" si="30"/>
        <v>0.1539882544321598</v>
      </c>
      <c r="K119" s="170">
        <f>I119-H119</f>
        <v>5585</v>
      </c>
      <c r="L119" s="172">
        <f>I119/$I107</f>
        <v>0.16469782706216601</v>
      </c>
    </row>
    <row r="120" spans="1:12" x14ac:dyDescent="0.25">
      <c r="A120" s="1"/>
      <c r="B120" s="157" t="s">
        <v>54</v>
      </c>
      <c r="C120" s="155"/>
      <c r="D120" s="155"/>
      <c r="E120" s="155"/>
      <c r="F120" s="155"/>
      <c r="G120" s="155"/>
      <c r="H120" s="155"/>
      <c r="I120" s="155"/>
      <c r="J120" s="156"/>
      <c r="K120" s="156"/>
      <c r="L120" s="155"/>
    </row>
    <row r="121" spans="1:12" x14ac:dyDescent="0.25">
      <c r="A121" s="1"/>
      <c r="B121" s="158" t="s">
        <v>71</v>
      </c>
      <c r="C121" s="178">
        <v>221911</v>
      </c>
      <c r="D121" s="178">
        <v>92857</v>
      </c>
      <c r="E121" s="178">
        <v>164413</v>
      </c>
      <c r="F121" s="178">
        <v>230406</v>
      </c>
      <c r="G121" s="178">
        <v>241537</v>
      </c>
      <c r="H121" s="178">
        <v>252084</v>
      </c>
      <c r="I121" s="178">
        <v>284121</v>
      </c>
      <c r="J121" s="179">
        <f>IFERROR(I121/H121-1,"-")</f>
        <v>0.12708858951777979</v>
      </c>
      <c r="K121" s="178">
        <f>I121-H121</f>
        <v>32037</v>
      </c>
      <c r="L121" s="179">
        <f>I121/$I121</f>
        <v>1</v>
      </c>
    </row>
    <row r="122" spans="1:12" x14ac:dyDescent="0.25">
      <c r="A122" s="1" t="s">
        <v>99</v>
      </c>
      <c r="B122" s="161" t="s">
        <v>100</v>
      </c>
      <c r="C122" s="162">
        <v>120598</v>
      </c>
      <c r="D122" s="162">
        <v>53329</v>
      </c>
      <c r="E122" s="162">
        <v>104603</v>
      </c>
      <c r="F122" s="162">
        <v>135281</v>
      </c>
      <c r="G122" s="162">
        <v>147661</v>
      </c>
      <c r="H122" s="162">
        <v>156478</v>
      </c>
      <c r="I122" s="162">
        <v>178851</v>
      </c>
      <c r="J122" s="180">
        <f>IFERROR(I122/H122-1,"-")</f>
        <v>0.14297856567696421</v>
      </c>
      <c r="K122" s="161">
        <f t="shared" ref="K122:K132" si="32">I122-H122</f>
        <v>22373</v>
      </c>
      <c r="L122" s="163">
        <f>I122/$I121</f>
        <v>0.62948884454158616</v>
      </c>
    </row>
    <row r="123" spans="1:12" x14ac:dyDescent="0.25">
      <c r="A123" s="164" t="s">
        <v>106</v>
      </c>
      <c r="B123" s="165" t="s">
        <v>106</v>
      </c>
      <c r="C123" s="166">
        <v>61234</v>
      </c>
      <c r="D123" s="166">
        <v>24262</v>
      </c>
      <c r="E123" s="166">
        <v>53258</v>
      </c>
      <c r="F123" s="166">
        <v>70019</v>
      </c>
      <c r="G123" s="166">
        <v>67219</v>
      </c>
      <c r="H123" s="166">
        <v>75350</v>
      </c>
      <c r="I123" s="166">
        <v>93624</v>
      </c>
      <c r="J123" s="181">
        <f>IFERROR(I123/H123-1,"-")</f>
        <v>0.24252156602521557</v>
      </c>
      <c r="K123" s="165">
        <f t="shared" si="32"/>
        <v>18274</v>
      </c>
      <c r="L123" s="167">
        <f>I123/$I121</f>
        <v>0.32952157707455626</v>
      </c>
    </row>
    <row r="124" spans="1:12" x14ac:dyDescent="0.25">
      <c r="A124" s="164" t="s">
        <v>103</v>
      </c>
      <c r="B124" s="165" t="s">
        <v>103</v>
      </c>
      <c r="C124" s="166">
        <v>59364</v>
      </c>
      <c r="D124" s="166">
        <v>29067</v>
      </c>
      <c r="E124" s="166">
        <v>51345</v>
      </c>
      <c r="F124" s="166">
        <v>65262</v>
      </c>
      <c r="G124" s="166">
        <v>80442</v>
      </c>
      <c r="H124" s="166">
        <v>81128</v>
      </c>
      <c r="I124" s="166">
        <v>85227</v>
      </c>
      <c r="J124" s="181">
        <f>IFERROR(I124/H124-1,"-")</f>
        <v>5.0525096144364401E-2</v>
      </c>
      <c r="K124" s="165">
        <f t="shared" si="32"/>
        <v>4099</v>
      </c>
      <c r="L124" s="167">
        <f>I124/$I121</f>
        <v>0.2999672674670299</v>
      </c>
    </row>
    <row r="125" spans="1:12" x14ac:dyDescent="0.25">
      <c r="A125" s="1"/>
      <c r="B125" s="161" t="s">
        <v>110</v>
      </c>
      <c r="C125" s="162">
        <v>101313</v>
      </c>
      <c r="D125" s="162">
        <v>39528</v>
      </c>
      <c r="E125" s="162">
        <v>59810</v>
      </c>
      <c r="F125" s="162">
        <v>95125</v>
      </c>
      <c r="G125" s="162">
        <v>93876</v>
      </c>
      <c r="H125" s="162">
        <v>95606</v>
      </c>
      <c r="I125" s="162">
        <v>105270</v>
      </c>
      <c r="J125" s="180">
        <f>IFERROR(I125/H125-1,"-")</f>
        <v>0.10108152208020416</v>
      </c>
      <c r="K125" s="161">
        <f t="shared" si="32"/>
        <v>9664</v>
      </c>
      <c r="L125" s="163">
        <f>I125/$I121</f>
        <v>0.37051115545841384</v>
      </c>
    </row>
    <row r="126" spans="1:12" s="58" customFormat="1" x14ac:dyDescent="0.25">
      <c r="B126" s="165" t="s">
        <v>113</v>
      </c>
      <c r="C126" s="166">
        <v>10592</v>
      </c>
      <c r="D126" s="166">
        <v>3832</v>
      </c>
      <c r="E126" s="166">
        <v>3346</v>
      </c>
      <c r="F126" s="166">
        <v>10000</v>
      </c>
      <c r="G126" s="166">
        <v>11778</v>
      </c>
      <c r="H126" s="166">
        <v>10803</v>
      </c>
      <c r="I126" s="166">
        <v>10561</v>
      </c>
      <c r="J126" s="181">
        <f t="shared" ref="J126:J133" si="33">IFERROR(I126/H126-1,"-")</f>
        <v>-2.2401184856058465E-2</v>
      </c>
      <c r="K126" s="165">
        <f t="shared" si="32"/>
        <v>-242</v>
      </c>
      <c r="L126" s="167">
        <f>I126/$I121</f>
        <v>3.7170782870678334E-2</v>
      </c>
    </row>
    <row r="127" spans="1:12" s="58" customFormat="1" x14ac:dyDescent="0.25">
      <c r="B127" s="165" t="s">
        <v>116</v>
      </c>
      <c r="C127" s="166">
        <v>9776</v>
      </c>
      <c r="D127" s="166">
        <v>4054</v>
      </c>
      <c r="E127" s="166">
        <v>7333</v>
      </c>
      <c r="F127" s="166">
        <v>11457</v>
      </c>
      <c r="G127" s="166">
        <v>13520</v>
      </c>
      <c r="H127" s="166">
        <v>13379</v>
      </c>
      <c r="I127" s="166">
        <v>15685</v>
      </c>
      <c r="J127" s="181">
        <f t="shared" si="33"/>
        <v>0.17235966813663195</v>
      </c>
      <c r="K127" s="165">
        <f t="shared" si="32"/>
        <v>2306</v>
      </c>
      <c r="L127" s="167">
        <f>I127/$I121</f>
        <v>5.5205352649047412E-2</v>
      </c>
    </row>
    <row r="128" spans="1:12" x14ac:dyDescent="0.25">
      <c r="A128" s="1"/>
      <c r="B128" s="165" t="s">
        <v>119</v>
      </c>
      <c r="C128" s="166">
        <v>6791</v>
      </c>
      <c r="D128" s="166">
        <v>2813</v>
      </c>
      <c r="E128" s="166">
        <v>7160</v>
      </c>
      <c r="F128" s="166">
        <v>8604</v>
      </c>
      <c r="G128" s="166">
        <v>8885</v>
      </c>
      <c r="H128" s="166">
        <v>8688</v>
      </c>
      <c r="I128" s="166">
        <v>9610</v>
      </c>
      <c r="J128" s="181">
        <f t="shared" si="33"/>
        <v>0.10612338858195214</v>
      </c>
      <c r="K128" s="165">
        <f t="shared" si="32"/>
        <v>922</v>
      </c>
      <c r="L128" s="167">
        <f>I128/$I121</f>
        <v>3.3823617402444731E-2</v>
      </c>
    </row>
    <row r="129" spans="1:12" x14ac:dyDescent="0.25">
      <c r="A129" s="1"/>
      <c r="B129" s="165" t="s">
        <v>126</v>
      </c>
      <c r="C129" s="166">
        <v>1882</v>
      </c>
      <c r="D129" s="166">
        <v>733</v>
      </c>
      <c r="E129" s="166">
        <v>1336</v>
      </c>
      <c r="F129" s="166">
        <v>2604</v>
      </c>
      <c r="G129" s="166">
        <v>2670</v>
      </c>
      <c r="H129" s="166">
        <v>2392</v>
      </c>
      <c r="I129" s="166">
        <v>2808</v>
      </c>
      <c r="J129" s="181">
        <f t="shared" si="33"/>
        <v>0.17391304347826098</v>
      </c>
      <c r="K129" s="165">
        <f t="shared" si="32"/>
        <v>416</v>
      </c>
      <c r="L129" s="167">
        <f>I129/$I121</f>
        <v>9.8831131806519056E-3</v>
      </c>
    </row>
    <row r="130" spans="1:12" x14ac:dyDescent="0.25">
      <c r="A130" s="1"/>
      <c r="B130" s="165" t="s">
        <v>122</v>
      </c>
      <c r="C130" s="166">
        <v>1497</v>
      </c>
      <c r="D130" s="166">
        <v>763</v>
      </c>
      <c r="E130" s="166">
        <v>1362</v>
      </c>
      <c r="F130" s="166">
        <v>1856</v>
      </c>
      <c r="G130" s="166">
        <v>1953</v>
      </c>
      <c r="H130" s="166">
        <v>2120</v>
      </c>
      <c r="I130" s="166">
        <v>2572</v>
      </c>
      <c r="J130" s="181">
        <f t="shared" si="33"/>
        <v>0.21320754716981138</v>
      </c>
      <c r="K130" s="165">
        <f t="shared" si="32"/>
        <v>452</v>
      </c>
      <c r="L130" s="167">
        <f>I130/$I121</f>
        <v>9.0524811611954054E-3</v>
      </c>
    </row>
    <row r="131" spans="1:12" x14ac:dyDescent="0.25">
      <c r="A131" s="1"/>
      <c r="B131" s="165" t="s">
        <v>131</v>
      </c>
      <c r="C131" s="166">
        <v>1645</v>
      </c>
      <c r="D131" s="166">
        <v>694</v>
      </c>
      <c r="E131" s="166">
        <v>555</v>
      </c>
      <c r="F131" s="166">
        <v>1101</v>
      </c>
      <c r="G131" s="166">
        <v>1357</v>
      </c>
      <c r="H131" s="166">
        <v>1362</v>
      </c>
      <c r="I131" s="166">
        <v>1148</v>
      </c>
      <c r="J131" s="181">
        <f t="shared" si="33"/>
        <v>-0.15712187958883994</v>
      </c>
      <c r="K131" s="165">
        <f t="shared" si="32"/>
        <v>-214</v>
      </c>
      <c r="L131" s="167">
        <f>I131/$I121</f>
        <v>4.0405320268477162E-3</v>
      </c>
    </row>
    <row r="132" spans="1:12" x14ac:dyDescent="0.25">
      <c r="A132" s="164" t="s">
        <v>147</v>
      </c>
      <c r="B132" s="165" t="s">
        <v>134</v>
      </c>
      <c r="C132" s="166">
        <v>2700</v>
      </c>
      <c r="D132" s="166">
        <v>1110</v>
      </c>
      <c r="E132" s="166">
        <v>923</v>
      </c>
      <c r="F132" s="166">
        <v>1906</v>
      </c>
      <c r="G132" s="166">
        <v>2487</v>
      </c>
      <c r="H132" s="166">
        <v>2538</v>
      </c>
      <c r="I132" s="166">
        <v>2378</v>
      </c>
      <c r="J132" s="181">
        <f t="shared" si="33"/>
        <v>-6.3041765169424724E-2</v>
      </c>
      <c r="K132" s="165">
        <f t="shared" si="32"/>
        <v>-160</v>
      </c>
      <c r="L132" s="167">
        <f>I132/$I121</f>
        <v>8.3696734841845546E-3</v>
      </c>
    </row>
    <row r="133" spans="1:12" x14ac:dyDescent="0.25">
      <c r="A133" s="169" t="s">
        <v>148</v>
      </c>
      <c r="B133" s="170" t="s">
        <v>148</v>
      </c>
      <c r="C133" s="171">
        <f t="shared" ref="C133:I133" si="34">C125-SUM(C126:C132)</f>
        <v>66430</v>
      </c>
      <c r="D133" s="171">
        <f t="shared" si="34"/>
        <v>25529</v>
      </c>
      <c r="E133" s="171">
        <f t="shared" si="34"/>
        <v>37795</v>
      </c>
      <c r="F133" s="171">
        <f t="shared" si="34"/>
        <v>57597</v>
      </c>
      <c r="G133" s="171">
        <f t="shared" si="34"/>
        <v>51226</v>
      </c>
      <c r="H133" s="171">
        <f t="shared" si="34"/>
        <v>54324</v>
      </c>
      <c r="I133" s="171">
        <f t="shared" si="34"/>
        <v>60508</v>
      </c>
      <c r="J133" s="182">
        <f t="shared" si="33"/>
        <v>0.11383550548560484</v>
      </c>
      <c r="K133" s="170">
        <f>I133-H133</f>
        <v>6184</v>
      </c>
      <c r="L133" s="172">
        <f>I133/$I121</f>
        <v>0.21296560268336379</v>
      </c>
    </row>
    <row r="134" spans="1:12" x14ac:dyDescent="0.25">
      <c r="A134" s="1"/>
      <c r="B134" s="157" t="s">
        <v>55</v>
      </c>
      <c r="C134" s="155"/>
      <c r="D134" s="155"/>
      <c r="E134" s="155"/>
      <c r="F134" s="155"/>
      <c r="G134" s="155"/>
      <c r="H134" s="155"/>
      <c r="I134" s="155"/>
      <c r="J134" s="156"/>
      <c r="K134" s="156"/>
      <c r="L134" s="155"/>
    </row>
    <row r="135" spans="1:12" x14ac:dyDescent="0.25">
      <c r="A135" s="1"/>
      <c r="B135" s="158" t="s">
        <v>71</v>
      </c>
      <c r="C135" s="178">
        <v>254169</v>
      </c>
      <c r="D135" s="178">
        <v>93275</v>
      </c>
      <c r="E135" s="178">
        <v>141329</v>
      </c>
      <c r="F135" s="178">
        <v>261644</v>
      </c>
      <c r="G135" s="178">
        <v>285810</v>
      </c>
      <c r="H135" s="178">
        <v>293795</v>
      </c>
      <c r="I135" s="178">
        <v>293036</v>
      </c>
      <c r="J135" s="179">
        <f>IFERROR(I135/H135-1,"-")</f>
        <v>-2.5834340271277956E-3</v>
      </c>
      <c r="K135" s="178">
        <f>I135-H135</f>
        <v>-759</v>
      </c>
      <c r="L135" s="179">
        <f>I135/$I135</f>
        <v>1</v>
      </c>
    </row>
    <row r="136" spans="1:12" x14ac:dyDescent="0.25">
      <c r="A136" s="1" t="s">
        <v>99</v>
      </c>
      <c r="B136" s="161" t="s">
        <v>100</v>
      </c>
      <c r="C136" s="162">
        <v>45781</v>
      </c>
      <c r="D136" s="162">
        <v>21987</v>
      </c>
      <c r="E136" s="162">
        <v>45389</v>
      </c>
      <c r="F136" s="162">
        <v>29396</v>
      </c>
      <c r="G136" s="162">
        <v>34007</v>
      </c>
      <c r="H136" s="162">
        <v>29467</v>
      </c>
      <c r="I136" s="162">
        <v>33272</v>
      </c>
      <c r="J136" s="180">
        <f>IFERROR(I136/H136-1,"-")</f>
        <v>0.12912749855770866</v>
      </c>
      <c r="K136" s="161">
        <f t="shared" ref="K136:K146" si="35">I136-H136</f>
        <v>3805</v>
      </c>
      <c r="L136" s="163">
        <f>I136/$I135</f>
        <v>0.11354236339562375</v>
      </c>
    </row>
    <row r="137" spans="1:12" x14ac:dyDescent="0.25">
      <c r="A137" s="164" t="s">
        <v>106</v>
      </c>
      <c r="B137" s="165" t="s">
        <v>106</v>
      </c>
      <c r="C137" s="166">
        <v>24957</v>
      </c>
      <c r="D137" s="166">
        <v>16261</v>
      </c>
      <c r="E137" s="166">
        <v>34297</v>
      </c>
      <c r="F137" s="166">
        <v>20018</v>
      </c>
      <c r="G137" s="166">
        <v>22544</v>
      </c>
      <c r="H137" s="166">
        <v>18421</v>
      </c>
      <c r="I137" s="166">
        <v>19632</v>
      </c>
      <c r="J137" s="181">
        <f>IFERROR(I137/H137-1,"-")</f>
        <v>6.5740187829108176E-2</v>
      </c>
      <c r="K137" s="165">
        <f t="shared" si="35"/>
        <v>1211</v>
      </c>
      <c r="L137" s="167">
        <f>I137/$I135</f>
        <v>6.6995181479408666E-2</v>
      </c>
    </row>
    <row r="138" spans="1:12" x14ac:dyDescent="0.25">
      <c r="A138" s="164" t="s">
        <v>103</v>
      </c>
      <c r="B138" s="165" t="s">
        <v>103</v>
      </c>
      <c r="C138" s="166">
        <v>20824</v>
      </c>
      <c r="D138" s="166">
        <v>5726</v>
      </c>
      <c r="E138" s="166">
        <v>11092</v>
      </c>
      <c r="F138" s="166">
        <v>9378</v>
      </c>
      <c r="G138" s="166">
        <v>11463</v>
      </c>
      <c r="H138" s="166">
        <v>11046</v>
      </c>
      <c r="I138" s="166">
        <v>13640</v>
      </c>
      <c r="J138" s="181">
        <f>IFERROR(I138/H138-1,"-")</f>
        <v>0.23483613977910567</v>
      </c>
      <c r="K138" s="165">
        <f t="shared" si="35"/>
        <v>2594</v>
      </c>
      <c r="L138" s="167">
        <f>I138/$I135</f>
        <v>4.6547181916215076E-2</v>
      </c>
    </row>
    <row r="139" spans="1:12" x14ac:dyDescent="0.25">
      <c r="A139" s="1"/>
      <c r="B139" s="161" t="s">
        <v>110</v>
      </c>
      <c r="C139" s="162">
        <v>208388</v>
      </c>
      <c r="D139" s="162">
        <v>71288</v>
      </c>
      <c r="E139" s="162">
        <v>95940</v>
      </c>
      <c r="F139" s="162">
        <v>232248</v>
      </c>
      <c r="G139" s="162">
        <v>251803</v>
      </c>
      <c r="H139" s="162">
        <v>264328</v>
      </c>
      <c r="I139" s="162">
        <v>259764</v>
      </c>
      <c r="J139" s="180">
        <f>IFERROR(I139/H139-1,"-")</f>
        <v>-1.7266426560939463E-2</v>
      </c>
      <c r="K139" s="161">
        <f t="shared" si="35"/>
        <v>-4564</v>
      </c>
      <c r="L139" s="163">
        <f>I139/$I135</f>
        <v>0.88645763660437626</v>
      </c>
    </row>
    <row r="140" spans="1:12" s="58" customFormat="1" x14ac:dyDescent="0.25">
      <c r="B140" s="165" t="s">
        <v>113</v>
      </c>
      <c r="C140" s="166">
        <v>102429</v>
      </c>
      <c r="D140" s="166">
        <v>27693</v>
      </c>
      <c r="E140" s="166">
        <v>26568</v>
      </c>
      <c r="F140" s="166">
        <v>98004</v>
      </c>
      <c r="G140" s="166">
        <v>107918</v>
      </c>
      <c r="H140" s="166">
        <v>118432</v>
      </c>
      <c r="I140" s="166">
        <v>118135</v>
      </c>
      <c r="J140" s="181">
        <f t="shared" ref="J140:J147" si="36">IFERROR(I140/H140-1,"-")</f>
        <v>-2.5077681707647015E-3</v>
      </c>
      <c r="K140" s="165">
        <f t="shared" si="35"/>
        <v>-297</v>
      </c>
      <c r="L140" s="167">
        <f>I140/$I135</f>
        <v>0.40314159352434514</v>
      </c>
    </row>
    <row r="141" spans="1:12" s="58" customFormat="1" x14ac:dyDescent="0.25">
      <c r="B141" s="165" t="s">
        <v>116</v>
      </c>
      <c r="C141" s="166">
        <v>15265</v>
      </c>
      <c r="D141" s="166">
        <v>5762</v>
      </c>
      <c r="E141" s="166">
        <v>9382</v>
      </c>
      <c r="F141" s="166">
        <v>16968</v>
      </c>
      <c r="G141" s="166">
        <v>21306</v>
      </c>
      <c r="H141" s="166">
        <v>21957</v>
      </c>
      <c r="I141" s="166">
        <v>22142</v>
      </c>
      <c r="J141" s="181">
        <f t="shared" si="36"/>
        <v>8.4255590472286368E-3</v>
      </c>
      <c r="K141" s="165">
        <f t="shared" si="35"/>
        <v>185</v>
      </c>
      <c r="L141" s="167">
        <f>I141/$I135</f>
        <v>7.5560681963990767E-2</v>
      </c>
    </row>
    <row r="142" spans="1:12" x14ac:dyDescent="0.25">
      <c r="A142" s="1"/>
      <c r="B142" s="165" t="s">
        <v>119</v>
      </c>
      <c r="C142" s="166">
        <v>19891</v>
      </c>
      <c r="D142" s="166">
        <v>6546</v>
      </c>
      <c r="E142" s="166">
        <v>15420</v>
      </c>
      <c r="F142" s="166">
        <v>27251</v>
      </c>
      <c r="G142" s="166">
        <v>25353</v>
      </c>
      <c r="H142" s="166">
        <v>25136</v>
      </c>
      <c r="I142" s="166">
        <v>23973</v>
      </c>
      <c r="J142" s="181">
        <f t="shared" si="36"/>
        <v>-4.626830044557606E-2</v>
      </c>
      <c r="K142" s="165">
        <f t="shared" si="35"/>
        <v>-1163</v>
      </c>
      <c r="L142" s="167">
        <f>I142/$I135</f>
        <v>8.1809061002743697E-2</v>
      </c>
    </row>
    <row r="143" spans="1:12" x14ac:dyDescent="0.25">
      <c r="A143" s="1"/>
      <c r="B143" s="165" t="s">
        <v>126</v>
      </c>
      <c r="C143" s="166">
        <v>4038</v>
      </c>
      <c r="D143" s="166">
        <v>1178</v>
      </c>
      <c r="E143" s="166">
        <v>4392</v>
      </c>
      <c r="F143" s="166">
        <v>10160</v>
      </c>
      <c r="G143" s="166">
        <v>9134</v>
      </c>
      <c r="H143" s="166">
        <v>6705</v>
      </c>
      <c r="I143" s="166">
        <v>5982</v>
      </c>
      <c r="J143" s="181">
        <f t="shared" si="36"/>
        <v>-0.10782997762863533</v>
      </c>
      <c r="K143" s="165">
        <f t="shared" si="35"/>
        <v>-723</v>
      </c>
      <c r="L143" s="167">
        <f>I143/$I135</f>
        <v>2.0413874063255028E-2</v>
      </c>
    </row>
    <row r="144" spans="1:12" x14ac:dyDescent="0.25">
      <c r="A144" s="1"/>
      <c r="B144" s="165" t="s">
        <v>122</v>
      </c>
      <c r="C144" s="166">
        <v>4324</v>
      </c>
      <c r="D144" s="166">
        <v>1939</v>
      </c>
      <c r="E144" s="166">
        <v>3357</v>
      </c>
      <c r="F144" s="166">
        <v>4807</v>
      </c>
      <c r="G144" s="166">
        <v>5613</v>
      </c>
      <c r="H144" s="166">
        <v>5718</v>
      </c>
      <c r="I144" s="166">
        <v>4738</v>
      </c>
      <c r="J144" s="181">
        <f t="shared" si="36"/>
        <v>-0.17138859741168244</v>
      </c>
      <c r="K144" s="165">
        <f t="shared" si="35"/>
        <v>-980</v>
      </c>
      <c r="L144" s="167">
        <f>I144/$I135</f>
        <v>1.6168661870896408E-2</v>
      </c>
    </row>
    <row r="145" spans="1:12" x14ac:dyDescent="0.25">
      <c r="A145" s="1"/>
      <c r="B145" s="165" t="s">
        <v>131</v>
      </c>
      <c r="C145" s="166">
        <v>2493</v>
      </c>
      <c r="D145" s="166">
        <v>2062</v>
      </c>
      <c r="E145" s="166">
        <v>1422</v>
      </c>
      <c r="F145" s="166">
        <v>3540</v>
      </c>
      <c r="G145" s="166">
        <v>3748</v>
      </c>
      <c r="H145" s="166">
        <v>3476</v>
      </c>
      <c r="I145" s="166">
        <v>3575</v>
      </c>
      <c r="J145" s="181">
        <f t="shared" si="36"/>
        <v>2.8481012658227778E-2</v>
      </c>
      <c r="K145" s="165">
        <f t="shared" si="35"/>
        <v>99</v>
      </c>
      <c r="L145" s="167">
        <f>I145/$I135</f>
        <v>1.2199866228040241E-2</v>
      </c>
    </row>
    <row r="146" spans="1:12" x14ac:dyDescent="0.25">
      <c r="A146" s="164" t="s">
        <v>147</v>
      </c>
      <c r="B146" s="165" t="s">
        <v>134</v>
      </c>
      <c r="C146" s="166">
        <v>6557</v>
      </c>
      <c r="D146" s="166">
        <v>4269</v>
      </c>
      <c r="E146" s="166">
        <v>959</v>
      </c>
      <c r="F146" s="166">
        <v>2132</v>
      </c>
      <c r="G146" s="166">
        <v>2973</v>
      </c>
      <c r="H146" s="166">
        <v>2916</v>
      </c>
      <c r="I146" s="166">
        <v>2352</v>
      </c>
      <c r="J146" s="181">
        <f t="shared" si="36"/>
        <v>-0.19341563786008231</v>
      </c>
      <c r="K146" s="165">
        <f t="shared" si="35"/>
        <v>-564</v>
      </c>
      <c r="L146" s="167">
        <f>I146/$I135</f>
        <v>8.0263175855526288E-3</v>
      </c>
    </row>
    <row r="147" spans="1:12" x14ac:dyDescent="0.25">
      <c r="A147" s="169" t="s">
        <v>148</v>
      </c>
      <c r="B147" s="170" t="s">
        <v>148</v>
      </c>
      <c r="C147" s="171">
        <f t="shared" ref="C147:I147" si="37">C139-SUM(C140:C146)</f>
        <v>53391</v>
      </c>
      <c r="D147" s="171">
        <f t="shared" si="37"/>
        <v>21839</v>
      </c>
      <c r="E147" s="171">
        <f t="shared" si="37"/>
        <v>34440</v>
      </c>
      <c r="F147" s="171">
        <f t="shared" si="37"/>
        <v>69386</v>
      </c>
      <c r="G147" s="171">
        <f t="shared" si="37"/>
        <v>75758</v>
      </c>
      <c r="H147" s="171">
        <f t="shared" si="37"/>
        <v>79988</v>
      </c>
      <c r="I147" s="171">
        <f t="shared" si="37"/>
        <v>78867</v>
      </c>
      <c r="J147" s="182">
        <f t="shared" si="36"/>
        <v>-1.4014602190328573E-2</v>
      </c>
      <c r="K147" s="170">
        <f>I147-H147</f>
        <v>-1121</v>
      </c>
      <c r="L147" s="172">
        <f>I147/$I135</f>
        <v>0.26913758036555235</v>
      </c>
    </row>
    <row r="148" spans="1:12" x14ac:dyDescent="0.25">
      <c r="A148" s="1"/>
      <c r="B148" s="157" t="s">
        <v>56</v>
      </c>
      <c r="C148" s="155"/>
      <c r="D148" s="155"/>
      <c r="E148" s="155"/>
      <c r="F148" s="155"/>
      <c r="G148" s="155"/>
      <c r="H148" s="155"/>
      <c r="I148" s="155"/>
      <c r="J148" s="156"/>
      <c r="K148" s="156"/>
      <c r="L148" s="155"/>
    </row>
    <row r="149" spans="1:12" x14ac:dyDescent="0.25">
      <c r="A149" s="1"/>
      <c r="B149" s="158" t="s">
        <v>71</v>
      </c>
      <c r="C149" s="178">
        <v>127971</v>
      </c>
      <c r="D149" s="178">
        <v>41217</v>
      </c>
      <c r="E149" s="178">
        <v>72233</v>
      </c>
      <c r="F149" s="178">
        <v>113045</v>
      </c>
      <c r="G149" s="178">
        <v>125576</v>
      </c>
      <c r="H149" s="178">
        <v>130392</v>
      </c>
      <c r="I149" s="178">
        <v>125230</v>
      </c>
      <c r="J149" s="179">
        <f>IFERROR(I149/H149-1,"-")</f>
        <v>-3.9588318301736258E-2</v>
      </c>
      <c r="K149" s="178">
        <f>I149-H149</f>
        <v>-5162</v>
      </c>
      <c r="L149" s="179">
        <f>I149/$I149</f>
        <v>1</v>
      </c>
    </row>
    <row r="150" spans="1:12" x14ac:dyDescent="0.25">
      <c r="A150" s="1" t="s">
        <v>99</v>
      </c>
      <c r="B150" s="161" t="s">
        <v>100</v>
      </c>
      <c r="C150" s="162">
        <v>54730</v>
      </c>
      <c r="D150" s="162">
        <v>19852</v>
      </c>
      <c r="E150" s="162">
        <v>40440</v>
      </c>
      <c r="F150" s="162">
        <v>58168</v>
      </c>
      <c r="G150" s="162">
        <v>60525</v>
      </c>
      <c r="H150" s="162">
        <v>56624</v>
      </c>
      <c r="I150" s="162">
        <v>52046</v>
      </c>
      <c r="J150" s="180">
        <f>IFERROR(I150/H150-1,"-")</f>
        <v>-8.0849109918055939E-2</v>
      </c>
      <c r="K150" s="161">
        <f t="shared" ref="K150:K160" si="38">I150-H150</f>
        <v>-4578</v>
      </c>
      <c r="L150" s="163">
        <f>I150/$I149</f>
        <v>0.41560328994649842</v>
      </c>
    </row>
    <row r="151" spans="1:12" x14ac:dyDescent="0.25">
      <c r="A151" s="164" t="s">
        <v>106</v>
      </c>
      <c r="B151" s="165" t="s">
        <v>106</v>
      </c>
      <c r="C151" s="166">
        <v>33154</v>
      </c>
      <c r="D151" s="166">
        <v>12261</v>
      </c>
      <c r="E151" s="166">
        <v>32395</v>
      </c>
      <c r="F151" s="166">
        <v>41872</v>
      </c>
      <c r="G151" s="166">
        <v>44830</v>
      </c>
      <c r="H151" s="166">
        <v>38407</v>
      </c>
      <c r="I151" s="166">
        <v>31918</v>
      </c>
      <c r="J151" s="181">
        <f>IFERROR(I151/H151-1,"-")</f>
        <v>-0.16895357617101048</v>
      </c>
      <c r="K151" s="165">
        <f t="shared" si="38"/>
        <v>-6489</v>
      </c>
      <c r="L151" s="167">
        <f>I151/$I149</f>
        <v>0.25487502994490135</v>
      </c>
    </row>
    <row r="152" spans="1:12" x14ac:dyDescent="0.25">
      <c r="A152" s="164" t="s">
        <v>103</v>
      </c>
      <c r="B152" s="165" t="s">
        <v>103</v>
      </c>
      <c r="C152" s="166">
        <v>21576</v>
      </c>
      <c r="D152" s="166">
        <v>7591</v>
      </c>
      <c r="E152" s="166">
        <v>8045</v>
      </c>
      <c r="F152" s="166">
        <v>16296</v>
      </c>
      <c r="G152" s="166">
        <v>15695</v>
      </c>
      <c r="H152" s="166">
        <v>18217</v>
      </c>
      <c r="I152" s="166">
        <v>20128</v>
      </c>
      <c r="J152" s="181">
        <f>IFERROR(I152/H152-1,"-")</f>
        <v>0.10490201460174564</v>
      </c>
      <c r="K152" s="165">
        <f t="shared" si="38"/>
        <v>1911</v>
      </c>
      <c r="L152" s="167">
        <f>I152/$I149</f>
        <v>0.16072826000159707</v>
      </c>
    </row>
    <row r="153" spans="1:12" x14ac:dyDescent="0.25">
      <c r="A153" s="1"/>
      <c r="B153" s="161" t="s">
        <v>110</v>
      </c>
      <c r="C153" s="162">
        <v>73241</v>
      </c>
      <c r="D153" s="162">
        <v>21365</v>
      </c>
      <c r="E153" s="162">
        <v>31793</v>
      </c>
      <c r="F153" s="162">
        <v>54877</v>
      </c>
      <c r="G153" s="162">
        <v>65051</v>
      </c>
      <c r="H153" s="162">
        <v>73768</v>
      </c>
      <c r="I153" s="162">
        <v>73184</v>
      </c>
      <c r="J153" s="180">
        <f>IFERROR(I153/H153-1,"-")</f>
        <v>-7.9167118533781666E-3</v>
      </c>
      <c r="K153" s="161">
        <f t="shared" si="38"/>
        <v>-584</v>
      </c>
      <c r="L153" s="163">
        <f>I153/$I149</f>
        <v>0.58439671005350158</v>
      </c>
    </row>
    <row r="154" spans="1:12" s="58" customFormat="1" x14ac:dyDescent="0.25">
      <c r="B154" s="165" t="s">
        <v>113</v>
      </c>
      <c r="C154" s="166">
        <v>22096</v>
      </c>
      <c r="D154" s="166">
        <v>5805</v>
      </c>
      <c r="E154" s="166">
        <v>5619</v>
      </c>
      <c r="F154" s="166">
        <v>19494</v>
      </c>
      <c r="G154" s="166">
        <v>19538</v>
      </c>
      <c r="H154" s="166">
        <v>20487</v>
      </c>
      <c r="I154" s="166">
        <v>18037</v>
      </c>
      <c r="J154" s="181">
        <f t="shared" ref="J154:J161" si="39">IFERROR(I154/H154-1,"-")</f>
        <v>-0.11958803143456831</v>
      </c>
      <c r="K154" s="165">
        <f t="shared" si="38"/>
        <v>-2450</v>
      </c>
      <c r="L154" s="167">
        <f>I154/$I149</f>
        <v>0.14403098299129602</v>
      </c>
    </row>
    <row r="155" spans="1:12" s="58" customFormat="1" x14ac:dyDescent="0.25">
      <c r="B155" s="165" t="s">
        <v>116</v>
      </c>
      <c r="C155" s="166">
        <v>18903</v>
      </c>
      <c r="D155" s="166">
        <v>5452</v>
      </c>
      <c r="E155" s="166">
        <v>8701</v>
      </c>
      <c r="F155" s="166">
        <v>11833</v>
      </c>
      <c r="G155" s="166">
        <v>13027</v>
      </c>
      <c r="H155" s="166">
        <v>13361</v>
      </c>
      <c r="I155" s="166">
        <v>13517</v>
      </c>
      <c r="J155" s="181">
        <f t="shared" si="39"/>
        <v>1.1675772771499116E-2</v>
      </c>
      <c r="K155" s="165">
        <f t="shared" si="38"/>
        <v>156</v>
      </c>
      <c r="L155" s="167">
        <f>I155/$I149</f>
        <v>0.10793739519284516</v>
      </c>
    </row>
    <row r="156" spans="1:12" x14ac:dyDescent="0.25">
      <c r="A156" s="1"/>
      <c r="B156" s="165" t="s">
        <v>119</v>
      </c>
      <c r="C156" s="166">
        <v>10122</v>
      </c>
      <c r="D156" s="166">
        <v>2402</v>
      </c>
      <c r="E156" s="166">
        <v>5271</v>
      </c>
      <c r="F156" s="166">
        <v>6658</v>
      </c>
      <c r="G156" s="166">
        <v>10341</v>
      </c>
      <c r="H156" s="166">
        <v>13087</v>
      </c>
      <c r="I156" s="166">
        <v>16918</v>
      </c>
      <c r="J156" s="181">
        <f t="shared" si="39"/>
        <v>0.29273324673339962</v>
      </c>
      <c r="K156" s="165">
        <f t="shared" si="38"/>
        <v>3831</v>
      </c>
      <c r="L156" s="167">
        <f>I156/$I149</f>
        <v>0.13509542441906891</v>
      </c>
    </row>
    <row r="157" spans="1:12" x14ac:dyDescent="0.25">
      <c r="A157" s="1"/>
      <c r="B157" s="165" t="s">
        <v>126</v>
      </c>
      <c r="C157" s="166">
        <v>1693</v>
      </c>
      <c r="D157" s="166">
        <v>619</v>
      </c>
      <c r="E157" s="166">
        <v>932</v>
      </c>
      <c r="F157" s="166">
        <v>1711</v>
      </c>
      <c r="G157" s="166">
        <v>2082</v>
      </c>
      <c r="H157" s="166">
        <v>2870</v>
      </c>
      <c r="I157" s="166">
        <v>2577</v>
      </c>
      <c r="J157" s="181">
        <f t="shared" si="39"/>
        <v>-0.1020905923344948</v>
      </c>
      <c r="K157" s="165">
        <f t="shared" si="38"/>
        <v>-293</v>
      </c>
      <c r="L157" s="167">
        <f>I157/$I149</f>
        <v>2.0578136229338018E-2</v>
      </c>
    </row>
    <row r="158" spans="1:12" x14ac:dyDescent="0.25">
      <c r="A158" s="1"/>
      <c r="B158" s="165" t="s">
        <v>122</v>
      </c>
      <c r="C158" s="166">
        <v>3086</v>
      </c>
      <c r="D158" s="166">
        <v>1300</v>
      </c>
      <c r="E158" s="166">
        <v>1752</v>
      </c>
      <c r="F158" s="166">
        <v>3040</v>
      </c>
      <c r="G158" s="166">
        <v>3110</v>
      </c>
      <c r="H158" s="166">
        <v>3538</v>
      </c>
      <c r="I158" s="166">
        <v>2741</v>
      </c>
      <c r="J158" s="181">
        <f t="shared" si="39"/>
        <v>-0.22526851328434139</v>
      </c>
      <c r="K158" s="165">
        <f t="shared" si="38"/>
        <v>-797</v>
      </c>
      <c r="L158" s="167">
        <f>I158/$I149</f>
        <v>2.188772658308712E-2</v>
      </c>
    </row>
    <row r="159" spans="1:12" x14ac:dyDescent="0.25">
      <c r="A159" s="1"/>
      <c r="B159" s="165" t="s">
        <v>131</v>
      </c>
      <c r="C159" s="166">
        <v>490</v>
      </c>
      <c r="D159" s="166">
        <v>403</v>
      </c>
      <c r="E159" s="166">
        <v>292</v>
      </c>
      <c r="F159" s="166">
        <v>514</v>
      </c>
      <c r="G159" s="166">
        <v>689</v>
      </c>
      <c r="H159" s="166">
        <v>505</v>
      </c>
      <c r="I159" s="166">
        <v>463</v>
      </c>
      <c r="J159" s="181">
        <f t="shared" si="39"/>
        <v>-8.3168316831683131E-2</v>
      </c>
      <c r="K159" s="165">
        <f t="shared" si="38"/>
        <v>-42</v>
      </c>
      <c r="L159" s="167">
        <f>I159/$I149</f>
        <v>3.6971971572306956E-3</v>
      </c>
    </row>
    <row r="160" spans="1:12" x14ac:dyDescent="0.25">
      <c r="A160" s="164" t="s">
        <v>147</v>
      </c>
      <c r="B160" s="165" t="s">
        <v>134</v>
      </c>
      <c r="C160" s="166">
        <v>1111</v>
      </c>
      <c r="D160" s="166">
        <v>501</v>
      </c>
      <c r="E160" s="166">
        <v>454</v>
      </c>
      <c r="F160" s="166">
        <v>710</v>
      </c>
      <c r="G160" s="166">
        <v>954</v>
      </c>
      <c r="H160" s="166">
        <v>832</v>
      </c>
      <c r="I160" s="166">
        <v>673</v>
      </c>
      <c r="J160" s="181">
        <f t="shared" si="39"/>
        <v>-0.19110576923076927</v>
      </c>
      <c r="K160" s="165">
        <f t="shared" si="38"/>
        <v>-159</v>
      </c>
      <c r="L160" s="167">
        <f>I160/$I149</f>
        <v>5.37411163459235E-3</v>
      </c>
    </row>
    <row r="161" spans="1:12" x14ac:dyDescent="0.25">
      <c r="A161" s="169" t="s">
        <v>148</v>
      </c>
      <c r="B161" s="170" t="s">
        <v>148</v>
      </c>
      <c r="C161" s="171">
        <f t="shared" ref="C161:I161" si="40">C153-SUM(C154:C160)</f>
        <v>15740</v>
      </c>
      <c r="D161" s="171">
        <f t="shared" si="40"/>
        <v>4883</v>
      </c>
      <c r="E161" s="171">
        <f t="shared" si="40"/>
        <v>8772</v>
      </c>
      <c r="F161" s="171">
        <f t="shared" si="40"/>
        <v>10917</v>
      </c>
      <c r="G161" s="171">
        <f t="shared" si="40"/>
        <v>15310</v>
      </c>
      <c r="H161" s="171">
        <f t="shared" si="40"/>
        <v>19088</v>
      </c>
      <c r="I161" s="171">
        <f t="shared" si="40"/>
        <v>18258</v>
      </c>
      <c r="J161" s="182">
        <f t="shared" si="39"/>
        <v>-4.3482816429170179E-2</v>
      </c>
      <c r="K161" s="170">
        <f>I161-H161</f>
        <v>-830</v>
      </c>
      <c r="L161" s="172">
        <f>I161/$I149</f>
        <v>0.14579573584604327</v>
      </c>
    </row>
    <row r="162" spans="1:12" ht="6" customHeight="1" x14ac:dyDescent="0.25">
      <c r="C162" s="81"/>
      <c r="D162" s="81"/>
      <c r="E162" s="81"/>
      <c r="F162" s="81"/>
      <c r="G162" s="81"/>
      <c r="H162" s="81"/>
      <c r="I162" s="81"/>
      <c r="J162" s="81"/>
    </row>
    <row r="163" spans="1:12" x14ac:dyDescent="0.25">
      <c r="B163" s="107" t="s">
        <v>58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</row>
  </sheetData>
  <mergeCells count="3">
    <mergeCell ref="B4:L4"/>
    <mergeCell ref="O4:X4"/>
    <mergeCell ref="C6:L6"/>
  </mergeCells>
  <pageMargins left="0.25" right="0.25" top="0.75" bottom="0.75" header="0.3" footer="0.3"/>
  <pageSetup paperSize="9" scale="2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2FB48-CDBE-4F55-8CE5-46C511CD9A67}">
  <sheetPr>
    <tabColor rgb="FFFFC000"/>
    <pageSetUpPr fitToPage="1"/>
  </sheetPr>
  <dimension ref="A1:W162"/>
  <sheetViews>
    <sheetView showGridLines="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4" max="23" width="11.42578125" hidden="1" customWidth="1"/>
  </cols>
  <sheetData>
    <row r="1" spans="1:23" ht="42.75" customHeight="1" x14ac:dyDescent="0.25"/>
    <row r="3" spans="1:23" ht="42" customHeight="1" thickBot="1" x14ac:dyDescent="0.3">
      <c r="B3" s="283" t="str">
        <f>CONCATENATE("Viajeros entrados en los establecimientos alojativos de Tenerife según lugar de residencia y municipio de alojamiento (hotel + apartamento)")</f>
        <v>Viajeros entrados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  <c r="N3" s="145" t="s">
        <v>266</v>
      </c>
      <c r="O3" s="146"/>
      <c r="P3" s="146"/>
      <c r="Q3" s="146"/>
      <c r="R3" s="146"/>
      <c r="S3" s="146"/>
      <c r="T3" s="146"/>
      <c r="U3" s="146"/>
      <c r="V3" s="146"/>
      <c r="W3" s="146"/>
    </row>
    <row r="4" spans="1:23" ht="6" customHeight="1" x14ac:dyDescent="0.25"/>
    <row r="5" spans="1:23" ht="15.75" x14ac:dyDescent="0.25">
      <c r="B5" s="147"/>
      <c r="C5" s="311" t="s">
        <v>46</v>
      </c>
      <c r="D5" s="312"/>
      <c r="E5" s="312"/>
      <c r="F5" s="312"/>
      <c r="G5" s="312"/>
      <c r="H5" s="312"/>
      <c r="I5" s="312"/>
      <c r="J5" s="312"/>
      <c r="K5" s="312"/>
      <c r="N5" s="147"/>
      <c r="O5" s="311" t="s">
        <v>46</v>
      </c>
      <c r="P5" s="312"/>
      <c r="Q5" s="312"/>
      <c r="R5" s="312"/>
      <c r="S5" s="312"/>
      <c r="T5" s="312"/>
      <c r="U5" s="312"/>
      <c r="V5" s="312"/>
      <c r="W5" s="312"/>
    </row>
    <row r="6" spans="1:23" s="148" customFormat="1" ht="72" customHeight="1" x14ac:dyDescent="0.25">
      <c r="B6" s="149"/>
      <c r="C6" s="150">
        <v>2019</v>
      </c>
      <c r="D6" s="151">
        <v>2020</v>
      </c>
      <c r="E6" s="151">
        <v>2021</v>
      </c>
      <c r="F6" s="151">
        <v>2022</v>
      </c>
      <c r="G6" s="151">
        <v>2023</v>
      </c>
      <c r="H6" s="151">
        <v>2024</v>
      </c>
      <c r="I6" s="152" t="str">
        <f>CONCATENATE("var. ",RIGHT(H6,2),"/",RIGHT(G6,2))</f>
        <v>var. 24/23</v>
      </c>
      <c r="J6" s="153" t="str">
        <f>CONCATENATE("dif. ",RIGHT(H6,2),"/",RIGHT(G6,2))</f>
        <v>dif. 24/23</v>
      </c>
      <c r="K6" s="152" t="str">
        <f>CONCATENATE("Cuota s/ total lugares de residencia ",RIGHT(H6,4))</f>
        <v>Cuota s/ total lugares de residencia 2024</v>
      </c>
      <c r="N6" s="149"/>
      <c r="O6" s="150">
        <v>2019</v>
      </c>
      <c r="P6" s="151">
        <v>2020</v>
      </c>
      <c r="Q6" s="151">
        <v>2021</v>
      </c>
      <c r="R6" s="151">
        <v>2022</v>
      </c>
      <c r="S6" s="151">
        <v>2023</v>
      </c>
      <c r="T6" s="151">
        <v>2024</v>
      </c>
      <c r="U6" s="152" t="str">
        <f>CONCATENATE("var. ",RIGHT(T6,2),"/",RIGHT(S6,2))</f>
        <v>var. 24/23</v>
      </c>
      <c r="V6" s="153" t="str">
        <f>CONCATENATE("dif. ",RIGHT(T6,2),"/",RIGHT(S6,2))</f>
        <v>dif. 24/23</v>
      </c>
      <c r="W6" s="152" t="str">
        <f>CONCATENATE("Cuota s/ total lugares de residencia ",RIGHT(T6,4))</f>
        <v>Cuota s/ total lugares de residencia 2024</v>
      </c>
    </row>
    <row r="7" spans="1:23" x14ac:dyDescent="0.25">
      <c r="A7" s="1"/>
      <c r="B7" s="154" t="s">
        <v>46</v>
      </c>
      <c r="C7" s="155"/>
      <c r="D7" s="155"/>
      <c r="E7" s="155"/>
      <c r="F7" s="155"/>
      <c r="G7" s="155"/>
      <c r="H7" s="156"/>
      <c r="I7" s="156"/>
      <c r="J7" s="156"/>
      <c r="K7" s="155"/>
      <c r="L7" s="81"/>
      <c r="N7" s="157" t="s">
        <v>48</v>
      </c>
      <c r="O7" s="155"/>
      <c r="P7" s="155"/>
      <c r="Q7" s="155"/>
      <c r="R7" s="155"/>
      <c r="S7" s="155"/>
      <c r="T7" s="156"/>
      <c r="U7" s="156"/>
      <c r="V7" s="156"/>
      <c r="W7" s="155"/>
    </row>
    <row r="8" spans="1:23" x14ac:dyDescent="0.25">
      <c r="A8" s="1"/>
      <c r="B8" s="158" t="s">
        <v>71</v>
      </c>
      <c r="C8" s="159">
        <v>4924849</v>
      </c>
      <c r="D8" s="159">
        <v>1664028</v>
      </c>
      <c r="E8" s="159">
        <v>2347681</v>
      </c>
      <c r="F8" s="159">
        <v>4832844</v>
      </c>
      <c r="G8" s="159">
        <v>5281667</v>
      </c>
      <c r="H8" s="159">
        <v>5579982</v>
      </c>
      <c r="I8" s="160">
        <f>IFERROR(H8/G8-1,"-")</f>
        <v>5.6481220796388731E-2</v>
      </c>
      <c r="J8" s="159">
        <f t="shared" ref="J8:J20" si="0">H8-G8</f>
        <v>298315</v>
      </c>
      <c r="K8" s="160">
        <f>H8/$H8</f>
        <v>1</v>
      </c>
      <c r="L8" s="81"/>
      <c r="N8" s="158" t="s">
        <v>71</v>
      </c>
      <c r="O8" s="159">
        <v>1327537</v>
      </c>
      <c r="P8" s="159">
        <v>404818</v>
      </c>
      <c r="Q8" s="159">
        <v>494807</v>
      </c>
      <c r="R8" s="159">
        <v>1265143</v>
      </c>
      <c r="S8" s="159">
        <v>1346478</v>
      </c>
      <c r="T8" s="159">
        <v>1414199</v>
      </c>
      <c r="U8" s="160">
        <f>IFERROR(T8/S8-1,"-")</f>
        <v>5.0294917555281149E-2</v>
      </c>
      <c r="V8" s="159">
        <f>T8-S8</f>
        <v>67721</v>
      </c>
      <c r="W8" s="160">
        <f>T8/T$8</f>
        <v>1</v>
      </c>
    </row>
    <row r="9" spans="1:23" x14ac:dyDescent="0.25">
      <c r="A9" s="1" t="s">
        <v>99</v>
      </c>
      <c r="B9" s="161" t="s">
        <v>100</v>
      </c>
      <c r="C9" s="162">
        <v>1056713</v>
      </c>
      <c r="D9" s="162">
        <v>467562</v>
      </c>
      <c r="E9" s="162">
        <v>802516</v>
      </c>
      <c r="F9" s="162">
        <v>1024864</v>
      </c>
      <c r="G9" s="162">
        <v>1053374</v>
      </c>
      <c r="H9" s="162">
        <v>1068186</v>
      </c>
      <c r="I9" s="163">
        <f>IFERROR(H9/G9-1,"-")</f>
        <v>1.4061482436437567E-2</v>
      </c>
      <c r="J9" s="162">
        <f t="shared" si="0"/>
        <v>14812</v>
      </c>
      <c r="K9" s="163">
        <f>H9/H8</f>
        <v>0.19143180031763543</v>
      </c>
      <c r="L9" s="81"/>
      <c r="N9" s="161" t="s">
        <v>100</v>
      </c>
      <c r="O9" s="162">
        <v>129369</v>
      </c>
      <c r="P9" s="162">
        <v>53491</v>
      </c>
      <c r="Q9" s="162">
        <v>83727</v>
      </c>
      <c r="R9" s="162">
        <v>125247</v>
      </c>
      <c r="S9" s="162">
        <v>120690</v>
      </c>
      <c r="T9" s="162">
        <v>115725</v>
      </c>
      <c r="U9" s="163">
        <f>IFERROR(T9/S9-1,"-")</f>
        <v>-4.113845389013171E-2</v>
      </c>
      <c r="V9" s="162">
        <f t="shared" ref="V9:V19" si="1">T9-S9</f>
        <v>-4965</v>
      </c>
      <c r="W9" s="163">
        <f>T9/T$8</f>
        <v>8.1830774876803056E-2</v>
      </c>
    </row>
    <row r="10" spans="1:23" x14ac:dyDescent="0.25">
      <c r="A10" s="164" t="s">
        <v>106</v>
      </c>
      <c r="B10" s="165" t="s">
        <v>106</v>
      </c>
      <c r="C10" s="166">
        <v>416975</v>
      </c>
      <c r="D10" s="166">
        <v>210583</v>
      </c>
      <c r="E10" s="166">
        <v>417269</v>
      </c>
      <c r="F10" s="166">
        <v>425397</v>
      </c>
      <c r="G10" s="166">
        <v>433319</v>
      </c>
      <c r="H10" s="166">
        <v>424259</v>
      </c>
      <c r="I10" s="167">
        <f>IFERROR(H10/G10-1,"-")</f>
        <v>-2.0908383892698001E-2</v>
      </c>
      <c r="J10" s="166">
        <f t="shared" si="0"/>
        <v>-9060</v>
      </c>
      <c r="K10" s="167">
        <f>H10/$H8</f>
        <v>7.6032324118608274E-2</v>
      </c>
      <c r="L10" s="81"/>
      <c r="N10" s="165" t="s">
        <v>106</v>
      </c>
      <c r="O10" s="166">
        <v>51589</v>
      </c>
      <c r="P10" s="166">
        <v>25384</v>
      </c>
      <c r="Q10" s="166">
        <v>43623</v>
      </c>
      <c r="R10" s="166">
        <v>48440</v>
      </c>
      <c r="S10" s="166">
        <v>52862</v>
      </c>
      <c r="T10" s="166">
        <v>50590</v>
      </c>
      <c r="U10" s="167">
        <f>IFERROR(T10/S10-1,"-")</f>
        <v>-4.297983428549812E-2</v>
      </c>
      <c r="V10" s="166">
        <f t="shared" si="1"/>
        <v>-2272</v>
      </c>
      <c r="W10" s="167">
        <f>T10/T$8</f>
        <v>3.5772900419247924E-2</v>
      </c>
    </row>
    <row r="11" spans="1:23" x14ac:dyDescent="0.25">
      <c r="A11" s="164" t="s">
        <v>103</v>
      </c>
      <c r="B11" s="165" t="s">
        <v>103</v>
      </c>
      <c r="C11" s="166">
        <v>639738</v>
      </c>
      <c r="D11" s="166">
        <v>256979</v>
      </c>
      <c r="E11" s="166">
        <v>385247</v>
      </c>
      <c r="F11" s="166">
        <v>599467</v>
      </c>
      <c r="G11" s="166">
        <v>620055</v>
      </c>
      <c r="H11" s="166">
        <v>643927</v>
      </c>
      <c r="I11" s="167">
        <f>IFERROR(H11/G11-1,"-")</f>
        <v>3.8499810500681297E-2</v>
      </c>
      <c r="J11" s="166">
        <f t="shared" si="0"/>
        <v>23872</v>
      </c>
      <c r="K11" s="167">
        <f>H11/$H8</f>
        <v>0.11539947619902717</v>
      </c>
      <c r="L11" s="81"/>
      <c r="N11" s="165" t="s">
        <v>103</v>
      </c>
      <c r="O11" s="166">
        <v>77780</v>
      </c>
      <c r="P11" s="166">
        <v>28107</v>
      </c>
      <c r="Q11" s="166">
        <v>40104</v>
      </c>
      <c r="R11" s="166">
        <v>76807</v>
      </c>
      <c r="S11" s="166">
        <v>67828</v>
      </c>
      <c r="T11" s="166">
        <v>65135</v>
      </c>
      <c r="U11" s="167">
        <f>IFERROR(T11/S11-1,"-")</f>
        <v>-3.970336734092117E-2</v>
      </c>
      <c r="V11" s="166">
        <f t="shared" si="1"/>
        <v>-2693</v>
      </c>
      <c r="W11" s="167">
        <f>T11/T$8</f>
        <v>4.6057874457555124E-2</v>
      </c>
    </row>
    <row r="12" spans="1:23" x14ac:dyDescent="0.25">
      <c r="A12" s="1"/>
      <c r="B12" s="161" t="s">
        <v>110</v>
      </c>
      <c r="C12" s="162">
        <v>3868136</v>
      </c>
      <c r="D12" s="162">
        <v>1196466</v>
      </c>
      <c r="E12" s="162">
        <v>1545165</v>
      </c>
      <c r="F12" s="162">
        <v>3807980</v>
      </c>
      <c r="G12" s="162">
        <v>4228293</v>
      </c>
      <c r="H12" s="162">
        <v>4511796</v>
      </c>
      <c r="I12" s="163">
        <f>IFERROR(H12/G12-1,"-")</f>
        <v>6.7049043195445579E-2</v>
      </c>
      <c r="J12" s="162">
        <f t="shared" si="0"/>
        <v>283503</v>
      </c>
      <c r="K12" s="163">
        <f>H12/H8</f>
        <v>0.8085681996823646</v>
      </c>
      <c r="L12" s="81"/>
      <c r="N12" s="161" t="s">
        <v>110</v>
      </c>
      <c r="O12" s="162">
        <v>1198168</v>
      </c>
      <c r="P12" s="162">
        <v>351327</v>
      </c>
      <c r="Q12" s="162">
        <v>411080</v>
      </c>
      <c r="R12" s="162">
        <v>1139896</v>
      </c>
      <c r="S12" s="162">
        <v>1225788</v>
      </c>
      <c r="T12" s="162">
        <v>1298474</v>
      </c>
      <c r="U12" s="163">
        <f>IFERROR(T12/S12-1,"-")</f>
        <v>5.9297366265618434E-2</v>
      </c>
      <c r="V12" s="162">
        <f t="shared" si="1"/>
        <v>72686</v>
      </c>
      <c r="W12" s="163">
        <f>T12/T$8</f>
        <v>0.91816922512319699</v>
      </c>
    </row>
    <row r="13" spans="1:23" s="58" customFormat="1" x14ac:dyDescent="0.25">
      <c r="B13" s="165" t="s">
        <v>113</v>
      </c>
      <c r="C13" s="166">
        <v>1755890</v>
      </c>
      <c r="D13" s="166">
        <v>472699</v>
      </c>
      <c r="E13" s="166">
        <v>448402</v>
      </c>
      <c r="F13" s="166">
        <v>1743899</v>
      </c>
      <c r="G13" s="166">
        <v>1976052</v>
      </c>
      <c r="H13" s="166">
        <v>2113224</v>
      </c>
      <c r="I13" s="167">
        <f t="shared" ref="I13:I20" si="2">IFERROR(H13/G13-1,"-")</f>
        <v>6.941720157161857E-2</v>
      </c>
      <c r="J13" s="166">
        <f t="shared" si="0"/>
        <v>137172</v>
      </c>
      <c r="K13" s="167">
        <f>H13/$H8</f>
        <v>0.37871520015655963</v>
      </c>
      <c r="L13" s="168"/>
      <c r="N13" s="165" t="s">
        <v>113</v>
      </c>
      <c r="O13" s="166">
        <v>653469</v>
      </c>
      <c r="P13" s="166">
        <v>160104</v>
      </c>
      <c r="Q13" s="166">
        <v>143107</v>
      </c>
      <c r="R13" s="166">
        <v>589013</v>
      </c>
      <c r="S13" s="166">
        <v>647220</v>
      </c>
      <c r="T13" s="166">
        <v>696169</v>
      </c>
      <c r="U13" s="167">
        <f t="shared" ref="U13:U20" si="3">IFERROR(T13/S13-1,"-")</f>
        <v>7.5629615895676849E-2</v>
      </c>
      <c r="V13" s="166">
        <f t="shared" si="1"/>
        <v>48949</v>
      </c>
      <c r="W13" s="167">
        <f t="shared" ref="W13:W20" si="4">T13/T$8</f>
        <v>0.49227088974041133</v>
      </c>
    </row>
    <row r="14" spans="1:23" s="58" customFormat="1" x14ac:dyDescent="0.25">
      <c r="B14" s="165" t="s">
        <v>116</v>
      </c>
      <c r="C14" s="166">
        <v>504382</v>
      </c>
      <c r="D14" s="166">
        <v>150484</v>
      </c>
      <c r="E14" s="166">
        <v>224169</v>
      </c>
      <c r="F14" s="166">
        <v>395500</v>
      </c>
      <c r="G14" s="166">
        <v>442794</v>
      </c>
      <c r="H14" s="166">
        <v>457911</v>
      </c>
      <c r="I14" s="167">
        <f t="shared" si="2"/>
        <v>3.4140028997682981E-2</v>
      </c>
      <c r="J14" s="166">
        <f t="shared" si="0"/>
        <v>15117</v>
      </c>
      <c r="K14" s="167">
        <f>H14/$H8</f>
        <v>8.206316794570305E-2</v>
      </c>
      <c r="L14" s="168"/>
      <c r="N14" s="165" t="s">
        <v>116</v>
      </c>
      <c r="O14" s="166">
        <v>53591</v>
      </c>
      <c r="P14" s="166">
        <v>17133</v>
      </c>
      <c r="Q14" s="166">
        <v>22014</v>
      </c>
      <c r="R14" s="166">
        <v>40094</v>
      </c>
      <c r="S14" s="166">
        <v>46114</v>
      </c>
      <c r="T14" s="166">
        <v>45371</v>
      </c>
      <c r="U14" s="167">
        <f t="shared" si="3"/>
        <v>-1.6112243570282292E-2</v>
      </c>
      <c r="V14" s="166">
        <f t="shared" si="1"/>
        <v>-743</v>
      </c>
      <c r="W14" s="167">
        <f t="shared" si="4"/>
        <v>3.2082472127331445E-2</v>
      </c>
    </row>
    <row r="15" spans="1:23" x14ac:dyDescent="0.25">
      <c r="A15" s="1"/>
      <c r="B15" s="165" t="s">
        <v>119</v>
      </c>
      <c r="C15" s="166">
        <v>169952</v>
      </c>
      <c r="D15" s="166">
        <v>61568</v>
      </c>
      <c r="E15" s="166">
        <v>129489</v>
      </c>
      <c r="F15" s="166">
        <v>199586</v>
      </c>
      <c r="G15" s="166">
        <v>218554</v>
      </c>
      <c r="H15" s="166">
        <v>235111</v>
      </c>
      <c r="I15" s="167">
        <f t="shared" si="2"/>
        <v>7.5757021148091575E-2</v>
      </c>
      <c r="J15" s="166">
        <f t="shared" si="0"/>
        <v>16557</v>
      </c>
      <c r="K15" s="167">
        <f>H15/$H8</f>
        <v>4.2134723732083726E-2</v>
      </c>
      <c r="L15" s="81"/>
      <c r="N15" s="165" t="s">
        <v>119</v>
      </c>
      <c r="O15" s="166">
        <v>24734</v>
      </c>
      <c r="P15" s="166">
        <v>10089</v>
      </c>
      <c r="Q15" s="166">
        <v>20113</v>
      </c>
      <c r="R15" s="166">
        <v>27607</v>
      </c>
      <c r="S15" s="166">
        <v>29230</v>
      </c>
      <c r="T15" s="166">
        <v>29531</v>
      </c>
      <c r="U15" s="167">
        <f t="shared" si="3"/>
        <v>1.0297639411563475E-2</v>
      </c>
      <c r="V15" s="166">
        <f t="shared" si="1"/>
        <v>301</v>
      </c>
      <c r="W15" s="167">
        <f t="shared" si="4"/>
        <v>2.0881785378153994E-2</v>
      </c>
    </row>
    <row r="16" spans="1:23" x14ac:dyDescent="0.25">
      <c r="A16" s="1"/>
      <c r="B16" s="165" t="s">
        <v>126</v>
      </c>
      <c r="C16" s="166">
        <v>140154</v>
      </c>
      <c r="D16" s="166">
        <v>41692</v>
      </c>
      <c r="E16" s="166">
        <v>93338</v>
      </c>
      <c r="F16" s="166">
        <v>173382</v>
      </c>
      <c r="G16" s="166">
        <v>167833</v>
      </c>
      <c r="H16" s="166">
        <v>177387</v>
      </c>
      <c r="I16" s="167">
        <f t="shared" si="2"/>
        <v>5.6925634410396109E-2</v>
      </c>
      <c r="J16" s="166">
        <f t="shared" si="0"/>
        <v>9554</v>
      </c>
      <c r="K16" s="167">
        <f>H16/$H8</f>
        <v>3.1789887494260732E-2</v>
      </c>
      <c r="L16" s="81"/>
      <c r="N16" s="165" t="s">
        <v>126</v>
      </c>
      <c r="O16" s="166">
        <v>54686</v>
      </c>
      <c r="P16" s="166">
        <v>16096</v>
      </c>
      <c r="Q16" s="166">
        <v>30710</v>
      </c>
      <c r="R16" s="166">
        <v>58189</v>
      </c>
      <c r="S16" s="166">
        <v>56377</v>
      </c>
      <c r="T16" s="166">
        <v>58857</v>
      </c>
      <c r="U16" s="167">
        <f t="shared" si="3"/>
        <v>4.3989570214803875E-2</v>
      </c>
      <c r="V16" s="166">
        <f t="shared" si="1"/>
        <v>2480</v>
      </c>
      <c r="W16" s="167">
        <f t="shared" si="4"/>
        <v>4.1618612373506135E-2</v>
      </c>
    </row>
    <row r="17" spans="1:23" x14ac:dyDescent="0.25">
      <c r="A17" s="1"/>
      <c r="B17" s="165" t="s">
        <v>122</v>
      </c>
      <c r="C17" s="166">
        <v>136969</v>
      </c>
      <c r="D17" s="166">
        <v>58927</v>
      </c>
      <c r="E17" s="166">
        <v>94304</v>
      </c>
      <c r="F17" s="166">
        <v>150351</v>
      </c>
      <c r="G17" s="166">
        <v>154430</v>
      </c>
      <c r="H17" s="166">
        <v>161175</v>
      </c>
      <c r="I17" s="167">
        <f t="shared" si="2"/>
        <v>4.367674674609856E-2</v>
      </c>
      <c r="J17" s="166">
        <f t="shared" si="0"/>
        <v>6745</v>
      </c>
      <c r="K17" s="167">
        <f>H17/H$8</f>
        <v>2.8884501777962725E-2</v>
      </c>
      <c r="L17" s="81"/>
      <c r="N17" s="165" t="s">
        <v>122</v>
      </c>
      <c r="O17" s="166">
        <v>42015</v>
      </c>
      <c r="P17" s="166">
        <v>16487</v>
      </c>
      <c r="Q17" s="166">
        <v>22921</v>
      </c>
      <c r="R17" s="166">
        <v>39629</v>
      </c>
      <c r="S17" s="166">
        <v>45101</v>
      </c>
      <c r="T17" s="166">
        <v>45571</v>
      </c>
      <c r="U17" s="167">
        <f t="shared" si="3"/>
        <v>1.0421054965521925E-2</v>
      </c>
      <c r="V17" s="166">
        <f t="shared" si="1"/>
        <v>470</v>
      </c>
      <c r="W17" s="167">
        <f t="shared" si="4"/>
        <v>3.2223894939821057E-2</v>
      </c>
    </row>
    <row r="18" spans="1:23" x14ac:dyDescent="0.25">
      <c r="A18" s="1"/>
      <c r="B18" s="165" t="s">
        <v>131</v>
      </c>
      <c r="C18" s="166">
        <v>76537</v>
      </c>
      <c r="D18" s="166">
        <v>31184</v>
      </c>
      <c r="E18" s="166">
        <v>25435</v>
      </c>
      <c r="F18" s="166">
        <v>64413</v>
      </c>
      <c r="G18" s="166">
        <v>68822</v>
      </c>
      <c r="H18" s="166">
        <v>65431</v>
      </c>
      <c r="I18" s="167">
        <f t="shared" si="2"/>
        <v>-4.9272035105053624E-2</v>
      </c>
      <c r="J18" s="166">
        <f t="shared" si="0"/>
        <v>-3391</v>
      </c>
      <c r="K18" s="167">
        <f t="shared" ref="K18:K20" si="5">H18/H$8</f>
        <v>1.1726023488964659E-2</v>
      </c>
      <c r="L18" s="81"/>
      <c r="N18" s="165" t="s">
        <v>131</v>
      </c>
      <c r="O18" s="166">
        <v>27828</v>
      </c>
      <c r="P18" s="166">
        <v>10556</v>
      </c>
      <c r="Q18" s="166">
        <v>10564</v>
      </c>
      <c r="R18" s="166">
        <v>23280</v>
      </c>
      <c r="S18" s="166">
        <v>23847</v>
      </c>
      <c r="T18" s="166">
        <v>22838</v>
      </c>
      <c r="U18" s="167">
        <f t="shared" si="3"/>
        <v>-4.2311401853482589E-2</v>
      </c>
      <c r="V18" s="166">
        <f t="shared" si="1"/>
        <v>-1009</v>
      </c>
      <c r="W18" s="167">
        <f t="shared" si="4"/>
        <v>1.6149070958189054E-2</v>
      </c>
    </row>
    <row r="19" spans="1:23" x14ac:dyDescent="0.25">
      <c r="A19" s="164" t="s">
        <v>147</v>
      </c>
      <c r="B19" s="165" t="s">
        <v>134</v>
      </c>
      <c r="C19" s="166">
        <v>110098</v>
      </c>
      <c r="D19" s="166">
        <v>47431</v>
      </c>
      <c r="E19" s="166">
        <v>22379</v>
      </c>
      <c r="F19" s="166">
        <v>58944</v>
      </c>
      <c r="G19" s="166">
        <v>72711</v>
      </c>
      <c r="H19" s="166">
        <v>71945</v>
      </c>
      <c r="I19" s="167">
        <f t="shared" si="2"/>
        <v>-1.05348571742927E-2</v>
      </c>
      <c r="J19" s="166">
        <f t="shared" si="0"/>
        <v>-766</v>
      </c>
      <c r="K19" s="167">
        <f t="shared" si="5"/>
        <v>1.2893410767274877E-2</v>
      </c>
      <c r="L19" s="81"/>
      <c r="N19" s="165" t="s">
        <v>134</v>
      </c>
      <c r="O19" s="166">
        <v>44401</v>
      </c>
      <c r="P19" s="166">
        <v>18763</v>
      </c>
      <c r="Q19" s="166">
        <v>10661</v>
      </c>
      <c r="R19" s="166">
        <v>23652</v>
      </c>
      <c r="S19" s="166">
        <v>27257</v>
      </c>
      <c r="T19" s="166">
        <v>25911</v>
      </c>
      <c r="U19" s="167">
        <f t="shared" si="3"/>
        <v>-4.9381810177202223E-2</v>
      </c>
      <c r="V19" s="166">
        <f t="shared" si="1"/>
        <v>-1346</v>
      </c>
      <c r="W19" s="167">
        <f t="shared" si="4"/>
        <v>1.8322032472091975E-2</v>
      </c>
    </row>
    <row r="20" spans="1:23" x14ac:dyDescent="0.25">
      <c r="A20" s="169" t="s">
        <v>148</v>
      </c>
      <c r="B20" s="170" t="s">
        <v>148</v>
      </c>
      <c r="C20" s="171">
        <f t="shared" ref="C20:H20" si="6">C12-SUM(C13:C19)</f>
        <v>974154</v>
      </c>
      <c r="D20" s="171">
        <f t="shared" si="6"/>
        <v>332481</v>
      </c>
      <c r="E20" s="171">
        <f t="shared" si="6"/>
        <v>507649</v>
      </c>
      <c r="F20" s="171">
        <f t="shared" si="6"/>
        <v>1021905</v>
      </c>
      <c r="G20" s="171">
        <f t="shared" si="6"/>
        <v>1127097</v>
      </c>
      <c r="H20" s="171">
        <f t="shared" si="6"/>
        <v>1229612</v>
      </c>
      <c r="I20" s="172">
        <f t="shared" si="2"/>
        <v>9.0954904502451805E-2</v>
      </c>
      <c r="J20" s="171">
        <f t="shared" si="0"/>
        <v>102515</v>
      </c>
      <c r="K20" s="172">
        <f t="shared" si="5"/>
        <v>0.22036128431955515</v>
      </c>
      <c r="L20" s="81"/>
      <c r="N20" s="170" t="s">
        <v>148</v>
      </c>
      <c r="O20" s="171">
        <f t="shared" ref="O20:T20" si="7">O12-SUM(O13:O19)</f>
        <v>297444</v>
      </c>
      <c r="P20" s="171">
        <f t="shared" si="7"/>
        <v>102099</v>
      </c>
      <c r="Q20" s="171">
        <f t="shared" si="7"/>
        <v>150990</v>
      </c>
      <c r="R20" s="171">
        <f t="shared" si="7"/>
        <v>338432</v>
      </c>
      <c r="S20" s="171">
        <f t="shared" si="7"/>
        <v>350642</v>
      </c>
      <c r="T20" s="171">
        <f t="shared" si="7"/>
        <v>374226</v>
      </c>
      <c r="U20" s="172">
        <f t="shared" si="3"/>
        <v>6.7259484032146766E-2</v>
      </c>
      <c r="V20" s="171">
        <f>T20-S20</f>
        <v>23584</v>
      </c>
      <c r="W20" s="172">
        <f t="shared" si="4"/>
        <v>0.26462046713369192</v>
      </c>
    </row>
    <row r="21" spans="1:23" x14ac:dyDescent="0.25">
      <c r="B21" s="157" t="s">
        <v>47</v>
      </c>
      <c r="C21" s="155"/>
      <c r="D21" s="155"/>
      <c r="E21" s="155"/>
      <c r="F21" s="155"/>
      <c r="G21" s="155"/>
      <c r="H21" s="156"/>
      <c r="I21" s="156"/>
      <c r="J21" s="156"/>
      <c r="K21" s="155"/>
      <c r="L21" s="173"/>
      <c r="M21" s="173"/>
      <c r="N21" s="173"/>
    </row>
    <row r="22" spans="1:23" x14ac:dyDescent="0.25">
      <c r="B22" s="158" t="s">
        <v>71</v>
      </c>
      <c r="C22" s="159">
        <v>1799528</v>
      </c>
      <c r="D22" s="159">
        <v>590539</v>
      </c>
      <c r="E22" s="159">
        <v>886032</v>
      </c>
      <c r="F22" s="159">
        <v>1785371</v>
      </c>
      <c r="G22" s="159">
        <v>1925435</v>
      </c>
      <c r="H22" s="159">
        <v>1977808</v>
      </c>
      <c r="I22" s="160">
        <f>IFERROR(H22/G22-1,"-")</f>
        <v>2.7200606616167189E-2</v>
      </c>
      <c r="J22" s="159">
        <f>H22-G22</f>
        <v>52373</v>
      </c>
      <c r="K22" s="160">
        <f>H22/H$8</f>
        <v>0.35444702151368945</v>
      </c>
      <c r="L22" s="107"/>
      <c r="M22" s="107"/>
      <c r="N22" s="107"/>
    </row>
    <row r="23" spans="1:23" x14ac:dyDescent="0.25">
      <c r="B23" s="161" t="s">
        <v>100</v>
      </c>
      <c r="C23" s="162">
        <v>225369</v>
      </c>
      <c r="D23" s="162">
        <v>120646</v>
      </c>
      <c r="E23" s="162">
        <v>248670</v>
      </c>
      <c r="F23" s="162">
        <v>209426</v>
      </c>
      <c r="G23" s="162">
        <v>184222</v>
      </c>
      <c r="H23" s="162">
        <v>164129</v>
      </c>
      <c r="I23" s="163">
        <f>IFERROR(H23/G23-1,"-")</f>
        <v>-0.10906949224305462</v>
      </c>
      <c r="J23" s="162">
        <f t="shared" ref="J23:J33" si="8">H23-G23</f>
        <v>-20093</v>
      </c>
      <c r="K23" s="163">
        <f>H23/H$8</f>
        <v>2.9413894166683691E-2</v>
      </c>
    </row>
    <row r="24" spans="1:23" x14ac:dyDescent="0.25">
      <c r="B24" s="165" t="s">
        <v>106</v>
      </c>
      <c r="C24" s="166">
        <v>113805</v>
      </c>
      <c r="D24" s="166">
        <v>69276</v>
      </c>
      <c r="E24" s="166">
        <v>127227</v>
      </c>
      <c r="F24" s="166">
        <v>87285</v>
      </c>
      <c r="G24" s="166">
        <v>76041</v>
      </c>
      <c r="H24" s="166">
        <v>61158</v>
      </c>
      <c r="I24" s="167">
        <f>IFERROR(H24/G24-1,"-")</f>
        <v>-0.19572335976644184</v>
      </c>
      <c r="J24" s="166">
        <f t="shared" si="8"/>
        <v>-14883</v>
      </c>
      <c r="K24" s="167">
        <f>H24/H$8</f>
        <v>1.0960250409409922E-2</v>
      </c>
    </row>
    <row r="25" spans="1:23" x14ac:dyDescent="0.25">
      <c r="B25" s="165" t="s">
        <v>12</v>
      </c>
      <c r="C25" s="166">
        <v>111564</v>
      </c>
      <c r="D25" s="166">
        <v>51370</v>
      </c>
      <c r="E25" s="166">
        <v>121443</v>
      </c>
      <c r="F25" s="166">
        <v>122141</v>
      </c>
      <c r="G25" s="166">
        <v>108181</v>
      </c>
      <c r="H25" s="166">
        <v>102971</v>
      </c>
      <c r="I25" s="167">
        <f>IFERROR(H25/G25-1,"-")</f>
        <v>-4.816002810105291E-2</v>
      </c>
      <c r="J25" s="166">
        <f t="shared" si="8"/>
        <v>-5210</v>
      </c>
      <c r="K25" s="167">
        <f>H25/H$8</f>
        <v>1.845364375727377E-2</v>
      </c>
    </row>
    <row r="26" spans="1:23" x14ac:dyDescent="0.25">
      <c r="B26" s="161" t="s">
        <v>110</v>
      </c>
      <c r="C26" s="162">
        <v>1574159</v>
      </c>
      <c r="D26" s="162">
        <v>469893</v>
      </c>
      <c r="E26" s="162">
        <v>637362</v>
      </c>
      <c r="F26" s="162">
        <v>1575945</v>
      </c>
      <c r="G26" s="162">
        <v>1741213</v>
      </c>
      <c r="H26" s="162">
        <v>1813679</v>
      </c>
      <c r="I26" s="163">
        <f>IFERROR(H26/G26-1,"-")</f>
        <v>4.1618113349716657E-2</v>
      </c>
      <c r="J26" s="162">
        <f t="shared" si="8"/>
        <v>72466</v>
      </c>
      <c r="K26" s="163">
        <f>H26/H$8</f>
        <v>0.32503312734700579</v>
      </c>
    </row>
    <row r="27" spans="1:23" x14ac:dyDescent="0.25">
      <c r="B27" s="165" t="s">
        <v>113</v>
      </c>
      <c r="C27" s="166">
        <v>773712</v>
      </c>
      <c r="D27" s="166">
        <v>204624</v>
      </c>
      <c r="E27" s="166">
        <v>209063</v>
      </c>
      <c r="F27" s="166">
        <v>793035</v>
      </c>
      <c r="G27" s="166">
        <v>900777</v>
      </c>
      <c r="H27" s="166">
        <v>947879</v>
      </c>
      <c r="I27" s="167">
        <f t="shared" ref="I27:I34" si="9">IFERROR(H27/G27-1,"-")</f>
        <v>5.2290411500293565E-2</v>
      </c>
      <c r="J27" s="166">
        <f t="shared" si="8"/>
        <v>47102</v>
      </c>
      <c r="K27" s="167">
        <f t="shared" ref="K27:K34" si="10">H27/H$8</f>
        <v>0.16987133650251918</v>
      </c>
    </row>
    <row r="28" spans="1:23" x14ac:dyDescent="0.25">
      <c r="B28" s="165" t="s">
        <v>116</v>
      </c>
      <c r="C28" s="166">
        <v>205570</v>
      </c>
      <c r="D28" s="166">
        <v>61251</v>
      </c>
      <c r="E28" s="166">
        <v>104521</v>
      </c>
      <c r="F28" s="166">
        <v>172719</v>
      </c>
      <c r="G28" s="166">
        <v>185849</v>
      </c>
      <c r="H28" s="166">
        <v>186837</v>
      </c>
      <c r="I28" s="167">
        <f t="shared" si="9"/>
        <v>5.3161437511097809E-3</v>
      </c>
      <c r="J28" s="166">
        <f t="shared" si="8"/>
        <v>988</v>
      </c>
      <c r="K28" s="167">
        <f t="shared" si="10"/>
        <v>3.3483441344434442E-2</v>
      </c>
    </row>
    <row r="29" spans="1:23" x14ac:dyDescent="0.25">
      <c r="B29" s="165" t="s">
        <v>119</v>
      </c>
      <c r="C29" s="166">
        <v>53652</v>
      </c>
      <c r="D29" s="166">
        <v>21788</v>
      </c>
      <c r="E29" s="166">
        <v>43165</v>
      </c>
      <c r="F29" s="166">
        <v>63880</v>
      </c>
      <c r="G29" s="166">
        <v>66435</v>
      </c>
      <c r="H29" s="166">
        <v>59808</v>
      </c>
      <c r="I29" s="167">
        <f t="shared" si="9"/>
        <v>-9.9751636938360755E-2</v>
      </c>
      <c r="J29" s="166">
        <f t="shared" si="8"/>
        <v>-6627</v>
      </c>
      <c r="K29" s="167">
        <f t="shared" si="10"/>
        <v>1.0718314145099392E-2</v>
      </c>
    </row>
    <row r="30" spans="1:23" x14ac:dyDescent="0.25">
      <c r="B30" s="165" t="s">
        <v>126</v>
      </c>
      <c r="C30" s="166">
        <v>62584</v>
      </c>
      <c r="D30" s="166">
        <v>18116</v>
      </c>
      <c r="E30" s="166">
        <v>41605</v>
      </c>
      <c r="F30" s="166">
        <v>77416</v>
      </c>
      <c r="G30" s="166">
        <v>71952</v>
      </c>
      <c r="H30" s="166">
        <v>72640</v>
      </c>
      <c r="I30" s="167">
        <f t="shared" si="9"/>
        <v>9.5619301756726394E-3</v>
      </c>
      <c r="J30" s="166">
        <f t="shared" si="8"/>
        <v>688</v>
      </c>
      <c r="K30" s="167">
        <f t="shared" si="10"/>
        <v>1.301796314038289E-2</v>
      </c>
    </row>
    <row r="31" spans="1:23" x14ac:dyDescent="0.25">
      <c r="B31" s="165" t="s">
        <v>122</v>
      </c>
      <c r="C31" s="166">
        <v>72038</v>
      </c>
      <c r="D31" s="166">
        <v>30997</v>
      </c>
      <c r="E31" s="166">
        <v>52336</v>
      </c>
      <c r="F31" s="166">
        <v>85446</v>
      </c>
      <c r="G31" s="166">
        <v>82435</v>
      </c>
      <c r="H31" s="166">
        <v>83954</v>
      </c>
      <c r="I31" s="167">
        <f t="shared" si="9"/>
        <v>1.8426639170255443E-2</v>
      </c>
      <c r="J31" s="166">
        <f t="shared" si="8"/>
        <v>1519</v>
      </c>
      <c r="K31" s="167">
        <f t="shared" si="10"/>
        <v>1.5045568247352769E-2</v>
      </c>
    </row>
    <row r="32" spans="1:23" x14ac:dyDescent="0.25">
      <c r="B32" s="165" t="s">
        <v>131</v>
      </c>
      <c r="C32" s="166">
        <v>31688</v>
      </c>
      <c r="D32" s="166">
        <v>12612</v>
      </c>
      <c r="E32" s="166">
        <v>7603</v>
      </c>
      <c r="F32" s="166">
        <v>23344</v>
      </c>
      <c r="G32" s="166">
        <v>24875</v>
      </c>
      <c r="H32" s="166">
        <v>24770</v>
      </c>
      <c r="I32" s="167">
        <f t="shared" si="9"/>
        <v>-4.2211055276382137E-3</v>
      </c>
      <c r="J32" s="166">
        <f t="shared" si="8"/>
        <v>-105</v>
      </c>
      <c r="K32" s="167">
        <f t="shared" si="10"/>
        <v>4.4390824199791326E-3</v>
      </c>
    </row>
    <row r="33" spans="2:14" x14ac:dyDescent="0.25">
      <c r="B33" s="165" t="s">
        <v>134</v>
      </c>
      <c r="C33" s="166">
        <v>36614</v>
      </c>
      <c r="D33" s="166">
        <v>14770</v>
      </c>
      <c r="E33" s="166">
        <v>5483</v>
      </c>
      <c r="F33" s="166">
        <v>20284</v>
      </c>
      <c r="G33" s="166">
        <v>26202</v>
      </c>
      <c r="H33" s="166">
        <v>24379</v>
      </c>
      <c r="I33" s="167">
        <f t="shared" si="9"/>
        <v>-6.9574841615143934E-2</v>
      </c>
      <c r="J33" s="166">
        <f t="shared" si="8"/>
        <v>-1823</v>
      </c>
      <c r="K33" s="167">
        <f t="shared" si="10"/>
        <v>4.369010509352898E-3</v>
      </c>
    </row>
    <row r="34" spans="2:14" x14ac:dyDescent="0.25">
      <c r="B34" s="170" t="s">
        <v>148</v>
      </c>
      <c r="C34" s="171">
        <f t="shared" ref="C34:H34" si="11">C26-SUM(C27:C33)</f>
        <v>338301</v>
      </c>
      <c r="D34" s="171">
        <f t="shared" si="11"/>
        <v>105735</v>
      </c>
      <c r="E34" s="171">
        <f t="shared" si="11"/>
        <v>173586</v>
      </c>
      <c r="F34" s="171">
        <f t="shared" si="11"/>
        <v>339821</v>
      </c>
      <c r="G34" s="171">
        <f t="shared" si="11"/>
        <v>382688</v>
      </c>
      <c r="H34" s="171">
        <f t="shared" si="11"/>
        <v>413412</v>
      </c>
      <c r="I34" s="172">
        <f t="shared" si="9"/>
        <v>8.0284722802909991E-2</v>
      </c>
      <c r="J34" s="171">
        <f>H34-G34</f>
        <v>30724</v>
      </c>
      <c r="K34" s="172">
        <f t="shared" si="10"/>
        <v>7.4088411037885063E-2</v>
      </c>
    </row>
    <row r="35" spans="2:14" x14ac:dyDescent="0.25">
      <c r="B35" s="157" t="s">
        <v>48</v>
      </c>
      <c r="C35" s="155"/>
      <c r="D35" s="155"/>
      <c r="E35" s="155"/>
      <c r="F35" s="155"/>
      <c r="G35" s="155"/>
      <c r="H35" s="156"/>
      <c r="I35" s="156"/>
      <c r="J35" s="156"/>
      <c r="K35" s="155"/>
      <c r="L35" s="173"/>
      <c r="M35" s="173"/>
      <c r="N35" s="173"/>
    </row>
    <row r="36" spans="2:14" x14ac:dyDescent="0.25">
      <c r="B36" s="158" t="s">
        <v>71</v>
      </c>
      <c r="C36" s="159">
        <v>1327537</v>
      </c>
      <c r="D36" s="159">
        <v>404818</v>
      </c>
      <c r="E36" s="159">
        <v>494807</v>
      </c>
      <c r="F36" s="159">
        <v>1265143</v>
      </c>
      <c r="G36" s="159">
        <v>1346478</v>
      </c>
      <c r="H36" s="159">
        <v>1414199</v>
      </c>
      <c r="I36" s="160">
        <f>IFERROR(H36/G36-1,"-")</f>
        <v>5.0294917555281149E-2</v>
      </c>
      <c r="J36" s="159">
        <f>H36-G36</f>
        <v>67721</v>
      </c>
      <c r="K36" s="160">
        <f>H36/H$8</f>
        <v>0.25344149855680537</v>
      </c>
      <c r="L36" s="107"/>
      <c r="M36" s="107"/>
      <c r="N36" s="107"/>
    </row>
    <row r="37" spans="2:14" x14ac:dyDescent="0.25">
      <c r="B37" s="161" t="s">
        <v>100</v>
      </c>
      <c r="C37" s="162">
        <v>129369</v>
      </c>
      <c r="D37" s="162">
        <v>53491</v>
      </c>
      <c r="E37" s="162">
        <v>83727</v>
      </c>
      <c r="F37" s="162">
        <v>125247</v>
      </c>
      <c r="G37" s="162">
        <v>120690</v>
      </c>
      <c r="H37" s="162">
        <v>115725</v>
      </c>
      <c r="I37" s="163">
        <f>IFERROR(H37/G37-1,"-")</f>
        <v>-4.113845389013171E-2</v>
      </c>
      <c r="J37" s="162">
        <f t="shared" ref="J37:J47" si="12">H37-G37</f>
        <v>-4965</v>
      </c>
      <c r="K37" s="163">
        <f>H37/H$8</f>
        <v>2.0739314212841548E-2</v>
      </c>
    </row>
    <row r="38" spans="2:14" x14ac:dyDescent="0.25">
      <c r="B38" s="165" t="s">
        <v>106</v>
      </c>
      <c r="C38" s="166">
        <v>51589</v>
      </c>
      <c r="D38" s="166">
        <v>25384</v>
      </c>
      <c r="E38" s="166">
        <v>43623</v>
      </c>
      <c r="F38" s="166">
        <v>48440</v>
      </c>
      <c r="G38" s="166">
        <v>52862</v>
      </c>
      <c r="H38" s="166">
        <v>50590</v>
      </c>
      <c r="I38" s="167">
        <f>IFERROR(H38/G38-1,"-")</f>
        <v>-4.297983428549812E-2</v>
      </c>
      <c r="J38" s="166">
        <f t="shared" si="12"/>
        <v>-2272</v>
      </c>
      <c r="K38" s="167">
        <f>H38/H$8</f>
        <v>9.0663374899775662E-3</v>
      </c>
    </row>
    <row r="39" spans="2:14" x14ac:dyDescent="0.25">
      <c r="B39" s="165" t="s">
        <v>103</v>
      </c>
      <c r="C39" s="166">
        <v>77780</v>
      </c>
      <c r="D39" s="166">
        <v>28107</v>
      </c>
      <c r="E39" s="166">
        <v>40104</v>
      </c>
      <c r="F39" s="166">
        <v>76807</v>
      </c>
      <c r="G39" s="166">
        <v>67828</v>
      </c>
      <c r="H39" s="166">
        <v>65135</v>
      </c>
      <c r="I39" s="167">
        <f>IFERROR(H39/G39-1,"-")</f>
        <v>-3.970336734092117E-2</v>
      </c>
      <c r="J39" s="166">
        <f t="shared" si="12"/>
        <v>-2693</v>
      </c>
      <c r="K39" s="167">
        <f>H39/H$8</f>
        <v>1.167297672286398E-2</v>
      </c>
    </row>
    <row r="40" spans="2:14" x14ac:dyDescent="0.25">
      <c r="B40" s="161" t="s">
        <v>110</v>
      </c>
      <c r="C40" s="162">
        <v>1198168</v>
      </c>
      <c r="D40" s="162">
        <v>351327</v>
      </c>
      <c r="E40" s="162">
        <v>411080</v>
      </c>
      <c r="F40" s="162">
        <v>1139896</v>
      </c>
      <c r="G40" s="162">
        <v>1225788</v>
      </c>
      <c r="H40" s="162">
        <v>1298474</v>
      </c>
      <c r="I40" s="163">
        <f>IFERROR(H40/G40-1,"-")</f>
        <v>5.9297366265618434E-2</v>
      </c>
      <c r="J40" s="162">
        <f t="shared" si="12"/>
        <v>72686</v>
      </c>
      <c r="K40" s="163">
        <f>H40/H$8</f>
        <v>0.23270218434396384</v>
      </c>
    </row>
    <row r="41" spans="2:14" x14ac:dyDescent="0.25">
      <c r="B41" s="165" t="s">
        <v>113</v>
      </c>
      <c r="C41" s="166">
        <v>653469</v>
      </c>
      <c r="D41" s="166">
        <v>160104</v>
      </c>
      <c r="E41" s="166">
        <v>143107</v>
      </c>
      <c r="F41" s="166">
        <v>589013</v>
      </c>
      <c r="G41" s="166">
        <v>647220</v>
      </c>
      <c r="H41" s="166">
        <v>696169</v>
      </c>
      <c r="I41" s="167">
        <f t="shared" ref="I41:I48" si="13">IFERROR(H41/G41-1,"-")</f>
        <v>7.5629615895676849E-2</v>
      </c>
      <c r="J41" s="166">
        <f t="shared" si="12"/>
        <v>48949</v>
      </c>
      <c r="K41" s="167">
        <f t="shared" ref="K41:K48" si="14">H41/H$8</f>
        <v>0.12476187199170176</v>
      </c>
    </row>
    <row r="42" spans="2:14" x14ac:dyDescent="0.25">
      <c r="B42" s="165" t="s">
        <v>116</v>
      </c>
      <c r="C42" s="166">
        <v>53591</v>
      </c>
      <c r="D42" s="166">
        <v>17133</v>
      </c>
      <c r="E42" s="166">
        <v>22014</v>
      </c>
      <c r="F42" s="166">
        <v>40094</v>
      </c>
      <c r="G42" s="166">
        <v>46114</v>
      </c>
      <c r="H42" s="166">
        <v>45371</v>
      </c>
      <c r="I42" s="167">
        <f t="shared" si="13"/>
        <v>-1.6112243570282292E-2</v>
      </c>
      <c r="J42" s="166">
        <f t="shared" si="12"/>
        <v>-743</v>
      </c>
      <c r="K42" s="167">
        <f t="shared" si="14"/>
        <v>8.13102981335782E-3</v>
      </c>
    </row>
    <row r="43" spans="2:14" x14ac:dyDescent="0.25">
      <c r="B43" s="165" t="s">
        <v>119</v>
      </c>
      <c r="C43" s="166">
        <v>24734</v>
      </c>
      <c r="D43" s="166">
        <v>10089</v>
      </c>
      <c r="E43" s="166">
        <v>20113</v>
      </c>
      <c r="F43" s="166">
        <v>27607</v>
      </c>
      <c r="G43" s="166">
        <v>29230</v>
      </c>
      <c r="H43" s="166">
        <v>29531</v>
      </c>
      <c r="I43" s="167">
        <f t="shared" si="13"/>
        <v>1.0297639411563475E-2</v>
      </c>
      <c r="J43" s="166">
        <f t="shared" si="12"/>
        <v>301</v>
      </c>
      <c r="K43" s="167">
        <f t="shared" si="14"/>
        <v>5.2923109787809354E-3</v>
      </c>
    </row>
    <row r="44" spans="2:14" x14ac:dyDescent="0.25">
      <c r="B44" s="165" t="s">
        <v>126</v>
      </c>
      <c r="C44" s="166">
        <v>54686</v>
      </c>
      <c r="D44" s="166">
        <v>16096</v>
      </c>
      <c r="E44" s="166">
        <v>30710</v>
      </c>
      <c r="F44" s="166">
        <v>58189</v>
      </c>
      <c r="G44" s="166">
        <v>56377</v>
      </c>
      <c r="H44" s="166">
        <v>58857</v>
      </c>
      <c r="I44" s="167">
        <f t="shared" si="13"/>
        <v>4.3989570214803875E-2</v>
      </c>
      <c r="J44" s="166">
        <f t="shared" si="12"/>
        <v>2480</v>
      </c>
      <c r="K44" s="167">
        <f t="shared" si="14"/>
        <v>1.0547883487796197E-2</v>
      </c>
    </row>
    <row r="45" spans="2:14" x14ac:dyDescent="0.25">
      <c r="B45" s="165" t="s">
        <v>122</v>
      </c>
      <c r="C45" s="166">
        <v>42015</v>
      </c>
      <c r="D45" s="166">
        <v>16487</v>
      </c>
      <c r="E45" s="166">
        <v>22921</v>
      </c>
      <c r="F45" s="166">
        <v>39629</v>
      </c>
      <c r="G45" s="166">
        <v>45101</v>
      </c>
      <c r="H45" s="166">
        <v>45571</v>
      </c>
      <c r="I45" s="167">
        <f t="shared" si="13"/>
        <v>1.0421054965521925E-2</v>
      </c>
      <c r="J45" s="166">
        <f t="shared" si="12"/>
        <v>470</v>
      </c>
      <c r="K45" s="167">
        <f t="shared" si="14"/>
        <v>8.1668722228853061E-3</v>
      </c>
    </row>
    <row r="46" spans="2:14" x14ac:dyDescent="0.25">
      <c r="B46" s="165" t="s">
        <v>131</v>
      </c>
      <c r="C46" s="166">
        <v>27828</v>
      </c>
      <c r="D46" s="166">
        <v>10556</v>
      </c>
      <c r="E46" s="166">
        <v>10564</v>
      </c>
      <c r="F46" s="166">
        <v>23280</v>
      </c>
      <c r="G46" s="166">
        <v>23847</v>
      </c>
      <c r="H46" s="166">
        <v>22838</v>
      </c>
      <c r="I46" s="167">
        <f t="shared" si="13"/>
        <v>-4.2311401853482589E-2</v>
      </c>
      <c r="J46" s="166">
        <f t="shared" si="12"/>
        <v>-1009</v>
      </c>
      <c r="K46" s="167">
        <f t="shared" si="14"/>
        <v>4.0928447439436185E-3</v>
      </c>
    </row>
    <row r="47" spans="2:14" x14ac:dyDescent="0.25">
      <c r="B47" s="165" t="s">
        <v>134</v>
      </c>
      <c r="C47" s="166">
        <v>44401</v>
      </c>
      <c r="D47" s="166">
        <v>18763</v>
      </c>
      <c r="E47" s="166">
        <v>10661</v>
      </c>
      <c r="F47" s="166">
        <v>23652</v>
      </c>
      <c r="G47" s="166">
        <v>27257</v>
      </c>
      <c r="H47" s="166">
        <v>25911</v>
      </c>
      <c r="I47" s="167">
        <f t="shared" si="13"/>
        <v>-4.9381810177202223E-2</v>
      </c>
      <c r="J47" s="166">
        <f t="shared" si="12"/>
        <v>-1346</v>
      </c>
      <c r="K47" s="167">
        <f t="shared" si="14"/>
        <v>4.64356336633344E-3</v>
      </c>
    </row>
    <row r="48" spans="2:14" x14ac:dyDescent="0.25">
      <c r="B48" s="170" t="s">
        <v>148</v>
      </c>
      <c r="C48" s="171">
        <f t="shared" ref="C48:H48" si="15">C40-SUM(C41:C47)</f>
        <v>297444</v>
      </c>
      <c r="D48" s="171">
        <f t="shared" si="15"/>
        <v>102099</v>
      </c>
      <c r="E48" s="171">
        <f t="shared" si="15"/>
        <v>150990</v>
      </c>
      <c r="F48" s="171">
        <f t="shared" si="15"/>
        <v>338432</v>
      </c>
      <c r="G48" s="171">
        <f t="shared" si="15"/>
        <v>350642</v>
      </c>
      <c r="H48" s="171">
        <f t="shared" si="15"/>
        <v>374226</v>
      </c>
      <c r="I48" s="172">
        <f t="shared" si="13"/>
        <v>6.7259484032146766E-2</v>
      </c>
      <c r="J48" s="171">
        <f>H48-G48</f>
        <v>23584</v>
      </c>
      <c r="K48" s="172">
        <f t="shared" si="14"/>
        <v>6.7065807739164748E-2</v>
      </c>
    </row>
    <row r="49" spans="2:14" x14ac:dyDescent="0.25">
      <c r="B49" s="157" t="s">
        <v>49</v>
      </c>
      <c r="C49" s="155"/>
      <c r="D49" s="155"/>
      <c r="E49" s="155"/>
      <c r="F49" s="155"/>
      <c r="G49" s="155"/>
      <c r="H49" s="156"/>
      <c r="I49" s="156"/>
      <c r="J49" s="156"/>
      <c r="K49" s="155"/>
      <c r="L49" s="173"/>
      <c r="M49" s="173"/>
      <c r="N49" s="173"/>
    </row>
    <row r="50" spans="2:14" x14ac:dyDescent="0.25">
      <c r="B50" s="158" t="s">
        <v>71</v>
      </c>
      <c r="C50" s="159">
        <v>45810</v>
      </c>
      <c r="D50" s="159">
        <v>13335</v>
      </c>
      <c r="E50" s="159">
        <v>20284</v>
      </c>
      <c r="F50" s="159">
        <v>38233</v>
      </c>
      <c r="G50" s="159">
        <v>51611</v>
      </c>
      <c r="H50" s="159">
        <v>45550</v>
      </c>
      <c r="I50" s="160">
        <f>IFERROR(H50/G50-1,"-")</f>
        <v>-0.11743620546007638</v>
      </c>
      <c r="J50" s="159">
        <f>H50-G50</f>
        <v>-6061</v>
      </c>
      <c r="K50" s="160">
        <f>H50/H$8</f>
        <v>8.1631087698849202E-3</v>
      </c>
      <c r="L50" s="107"/>
      <c r="M50" s="107"/>
      <c r="N50" s="107"/>
    </row>
    <row r="51" spans="2:14" x14ac:dyDescent="0.25">
      <c r="B51" s="161" t="s">
        <v>100</v>
      </c>
      <c r="C51" s="162">
        <v>10543</v>
      </c>
      <c r="D51" s="162">
        <v>2366</v>
      </c>
      <c r="E51" s="162">
        <v>4977</v>
      </c>
      <c r="F51" s="162">
        <v>6805</v>
      </c>
      <c r="G51" s="162">
        <v>20361</v>
      </c>
      <c r="H51" s="162">
        <v>12056</v>
      </c>
      <c r="I51" s="163">
        <f>IFERROR(H51/G51-1,"-")</f>
        <v>-0.40788762830902214</v>
      </c>
      <c r="J51" s="162">
        <f t="shared" ref="J51:J61" si="16">H51-G51</f>
        <v>-8305</v>
      </c>
      <c r="K51" s="163">
        <f>H51/H$8</f>
        <v>2.160580446316852E-3</v>
      </c>
    </row>
    <row r="52" spans="2:14" x14ac:dyDescent="0.25">
      <c r="B52" s="165" t="s">
        <v>106</v>
      </c>
      <c r="C52" s="166">
        <v>5954</v>
      </c>
      <c r="D52" s="166">
        <v>1673</v>
      </c>
      <c r="E52" s="166">
        <v>2436</v>
      </c>
      <c r="F52" s="166">
        <v>3518</v>
      </c>
      <c r="G52" s="166">
        <v>14887</v>
      </c>
      <c r="H52" s="166">
        <v>7780</v>
      </c>
      <c r="I52" s="167">
        <f>IFERROR(H52/G52-1,"-")</f>
        <v>-0.4773963861086854</v>
      </c>
      <c r="J52" s="166">
        <f t="shared" si="16"/>
        <v>-7107</v>
      </c>
      <c r="K52" s="167">
        <f>H52/H$8</f>
        <v>1.3942697306192028E-3</v>
      </c>
    </row>
    <row r="53" spans="2:14" x14ac:dyDescent="0.25">
      <c r="B53" s="165" t="s">
        <v>103</v>
      </c>
      <c r="C53" s="166">
        <v>4589</v>
      </c>
      <c r="D53" s="166">
        <v>693</v>
      </c>
      <c r="E53" s="166">
        <v>2541</v>
      </c>
      <c r="F53" s="166">
        <v>3287</v>
      </c>
      <c r="G53" s="166">
        <v>5474</v>
      </c>
      <c r="H53" s="166">
        <v>4276</v>
      </c>
      <c r="I53" s="167">
        <f>IFERROR(H53/G53-1,"-")</f>
        <v>-0.2188527584947022</v>
      </c>
      <c r="J53" s="166">
        <f t="shared" si="16"/>
        <v>-1198</v>
      </c>
      <c r="K53" s="167">
        <f>H53/H$8</f>
        <v>7.6631071569764923E-4</v>
      </c>
    </row>
    <row r="54" spans="2:14" x14ac:dyDescent="0.25">
      <c r="B54" s="161" t="s">
        <v>110</v>
      </c>
      <c r="C54" s="162">
        <v>35267</v>
      </c>
      <c r="D54" s="162">
        <v>10969</v>
      </c>
      <c r="E54" s="162">
        <v>15307</v>
      </c>
      <c r="F54" s="162">
        <v>31428</v>
      </c>
      <c r="G54" s="162">
        <v>31250</v>
      </c>
      <c r="H54" s="162">
        <v>33494</v>
      </c>
      <c r="I54" s="163">
        <f>IFERROR(H54/G54-1,"-")</f>
        <v>7.1808000000000094E-2</v>
      </c>
      <c r="J54" s="162">
        <f t="shared" si="16"/>
        <v>2244</v>
      </c>
      <c r="K54" s="163">
        <f>H54/H$8</f>
        <v>6.0025283235680691E-3</v>
      </c>
    </row>
    <row r="55" spans="2:14" x14ac:dyDescent="0.25">
      <c r="B55" s="165" t="s">
        <v>113</v>
      </c>
      <c r="C55" s="166">
        <v>10451</v>
      </c>
      <c r="D55" s="166">
        <v>3235</v>
      </c>
      <c r="E55" s="166">
        <v>3039</v>
      </c>
      <c r="F55" s="166">
        <v>10480</v>
      </c>
      <c r="G55" s="166">
        <v>9481</v>
      </c>
      <c r="H55" s="166">
        <v>11205</v>
      </c>
      <c r="I55" s="167">
        <f t="shared" ref="I55:I62" si="17">IFERROR(H55/G55-1,"-")</f>
        <v>0.18183735892838304</v>
      </c>
      <c r="J55" s="166">
        <f t="shared" si="16"/>
        <v>1724</v>
      </c>
      <c r="K55" s="167">
        <f t="shared" ref="K55:K62" si="18">H55/H$8</f>
        <v>2.0080709937773992E-3</v>
      </c>
    </row>
    <row r="56" spans="2:14" x14ac:dyDescent="0.25">
      <c r="B56" s="165" t="s">
        <v>116</v>
      </c>
      <c r="C56" s="166">
        <v>10142</v>
      </c>
      <c r="D56" s="166">
        <v>3165</v>
      </c>
      <c r="E56" s="166">
        <v>5197</v>
      </c>
      <c r="F56" s="166">
        <v>7015</v>
      </c>
      <c r="G56" s="166">
        <v>6255</v>
      </c>
      <c r="H56" s="166">
        <v>6432</v>
      </c>
      <c r="I56" s="167">
        <f t="shared" si="17"/>
        <v>2.8297362110311752E-2</v>
      </c>
      <c r="J56" s="166">
        <f t="shared" si="16"/>
        <v>177</v>
      </c>
      <c r="K56" s="167">
        <f t="shared" si="18"/>
        <v>1.1526918904039476E-3</v>
      </c>
    </row>
    <row r="57" spans="2:14" x14ac:dyDescent="0.25">
      <c r="B57" s="165" t="s">
        <v>119</v>
      </c>
      <c r="C57" s="166">
        <v>2191</v>
      </c>
      <c r="D57" s="166">
        <v>546</v>
      </c>
      <c r="E57" s="166">
        <v>1648</v>
      </c>
      <c r="F57" s="166">
        <v>2748</v>
      </c>
      <c r="G57" s="166">
        <v>2961</v>
      </c>
      <c r="H57" s="166">
        <v>2512</v>
      </c>
      <c r="I57" s="167">
        <f t="shared" si="17"/>
        <v>-0.15163796014859843</v>
      </c>
      <c r="J57" s="166">
        <f t="shared" si="16"/>
        <v>-449</v>
      </c>
      <c r="K57" s="167">
        <f t="shared" si="18"/>
        <v>4.5018066366522331E-4</v>
      </c>
    </row>
    <row r="58" spans="2:14" x14ac:dyDescent="0.25">
      <c r="B58" s="165" t="s">
        <v>126</v>
      </c>
      <c r="C58" s="166">
        <v>733</v>
      </c>
      <c r="D58" s="166">
        <v>287</v>
      </c>
      <c r="E58" s="166">
        <v>377</v>
      </c>
      <c r="F58" s="166">
        <v>875</v>
      </c>
      <c r="G58" s="166">
        <v>834</v>
      </c>
      <c r="H58" s="166">
        <v>1072</v>
      </c>
      <c r="I58" s="167">
        <f t="shared" si="17"/>
        <v>0.28537170263788969</v>
      </c>
      <c r="J58" s="166">
        <f t="shared" si="16"/>
        <v>238</v>
      </c>
      <c r="K58" s="167">
        <f t="shared" si="18"/>
        <v>1.9211531506732458E-4</v>
      </c>
    </row>
    <row r="59" spans="2:14" x14ac:dyDescent="0.25">
      <c r="B59" s="165" t="s">
        <v>122</v>
      </c>
      <c r="C59" s="166">
        <v>710</v>
      </c>
      <c r="D59" s="166">
        <v>233</v>
      </c>
      <c r="E59" s="166">
        <v>480</v>
      </c>
      <c r="F59" s="166">
        <v>665</v>
      </c>
      <c r="G59" s="166">
        <v>718</v>
      </c>
      <c r="H59" s="166">
        <v>761</v>
      </c>
      <c r="I59" s="167">
        <f t="shared" si="17"/>
        <v>5.9888579387186613E-2</v>
      </c>
      <c r="J59" s="166">
        <f t="shared" si="16"/>
        <v>43</v>
      </c>
      <c r="K59" s="167">
        <f t="shared" si="18"/>
        <v>1.3638036825208396E-4</v>
      </c>
    </row>
    <row r="60" spans="2:14" x14ac:dyDescent="0.25">
      <c r="B60" s="165" t="s">
        <v>131</v>
      </c>
      <c r="C60" s="166">
        <v>289</v>
      </c>
      <c r="D60" s="166">
        <v>136</v>
      </c>
      <c r="E60" s="166">
        <v>98</v>
      </c>
      <c r="F60" s="166">
        <v>141</v>
      </c>
      <c r="G60" s="166">
        <v>243</v>
      </c>
      <c r="H60" s="166">
        <v>149</v>
      </c>
      <c r="I60" s="167">
        <f t="shared" si="17"/>
        <v>-0.38683127572016462</v>
      </c>
      <c r="J60" s="166">
        <f t="shared" si="16"/>
        <v>-94</v>
      </c>
      <c r="K60" s="167">
        <f t="shared" si="18"/>
        <v>2.670259509797702E-5</v>
      </c>
    </row>
    <row r="61" spans="2:14" x14ac:dyDescent="0.25">
      <c r="B61" s="165" t="s">
        <v>134</v>
      </c>
      <c r="C61" s="166">
        <v>617</v>
      </c>
      <c r="D61" s="166">
        <v>248</v>
      </c>
      <c r="E61" s="166">
        <v>91</v>
      </c>
      <c r="F61" s="166">
        <v>157</v>
      </c>
      <c r="G61" s="166">
        <v>195</v>
      </c>
      <c r="H61" s="166">
        <v>168</v>
      </c>
      <c r="I61" s="167">
        <f t="shared" si="17"/>
        <v>-0.13846153846153841</v>
      </c>
      <c r="J61" s="166">
        <f t="shared" si="16"/>
        <v>-27</v>
      </c>
      <c r="K61" s="167">
        <f t="shared" si="18"/>
        <v>3.0107624003088182E-5</v>
      </c>
    </row>
    <row r="62" spans="2:14" x14ac:dyDescent="0.25">
      <c r="B62" s="170" t="s">
        <v>148</v>
      </c>
      <c r="C62" s="171">
        <f t="shared" ref="C62:H62" si="19">C54-SUM(C55:C61)</f>
        <v>10134</v>
      </c>
      <c r="D62" s="171">
        <f t="shared" si="19"/>
        <v>3119</v>
      </c>
      <c r="E62" s="171">
        <f t="shared" si="19"/>
        <v>4377</v>
      </c>
      <c r="F62" s="171">
        <f t="shared" si="19"/>
        <v>9347</v>
      </c>
      <c r="G62" s="171">
        <f t="shared" si="19"/>
        <v>10563</v>
      </c>
      <c r="H62" s="171">
        <f t="shared" si="19"/>
        <v>11195</v>
      </c>
      <c r="I62" s="172">
        <f t="shared" si="17"/>
        <v>5.9831487266875039E-2</v>
      </c>
      <c r="J62" s="171">
        <f>H62-G62</f>
        <v>632</v>
      </c>
      <c r="K62" s="172">
        <f t="shared" si="18"/>
        <v>2.006278873301025E-3</v>
      </c>
    </row>
    <row r="63" spans="2:14" x14ac:dyDescent="0.25">
      <c r="B63" s="157" t="s">
        <v>50</v>
      </c>
      <c r="C63" s="155"/>
      <c r="D63" s="155"/>
      <c r="E63" s="155"/>
      <c r="F63" s="155"/>
      <c r="G63" s="155"/>
      <c r="H63" s="156"/>
      <c r="I63" s="156"/>
      <c r="J63" s="156"/>
      <c r="K63" s="155"/>
      <c r="L63" s="173"/>
      <c r="M63" s="173"/>
      <c r="N63" s="173"/>
    </row>
    <row r="64" spans="2:14" x14ac:dyDescent="0.25">
      <c r="B64" s="158" t="s">
        <v>71</v>
      </c>
      <c r="C64" s="159">
        <v>139160</v>
      </c>
      <c r="D64" s="159">
        <v>57877</v>
      </c>
      <c r="E64" s="159">
        <v>71245</v>
      </c>
      <c r="F64" s="159">
        <v>164270</v>
      </c>
      <c r="G64" s="159">
        <v>177179</v>
      </c>
      <c r="H64" s="159">
        <v>234780</v>
      </c>
      <c r="I64" s="160">
        <f>IFERROR(H64/G64-1,"-")</f>
        <v>0.32510060447344213</v>
      </c>
      <c r="J64" s="159">
        <f>H64-G64</f>
        <v>57601</v>
      </c>
      <c r="K64" s="160">
        <f>H64/H$8</f>
        <v>4.2075404544315735E-2</v>
      </c>
      <c r="L64" s="107"/>
      <c r="M64" s="107"/>
      <c r="N64" s="107"/>
    </row>
    <row r="65" spans="2:14" x14ac:dyDescent="0.25">
      <c r="B65" s="161" t="s">
        <v>100</v>
      </c>
      <c r="C65" s="162">
        <v>42184</v>
      </c>
      <c r="D65" s="162">
        <v>24943</v>
      </c>
      <c r="E65" s="162">
        <v>26573</v>
      </c>
      <c r="F65" s="162">
        <v>32862</v>
      </c>
      <c r="G65" s="162">
        <v>44592</v>
      </c>
      <c r="H65" s="162">
        <v>62052</v>
      </c>
      <c r="I65" s="163">
        <f>IFERROR(H65/G65-1,"-")</f>
        <v>0.39155005382131325</v>
      </c>
      <c r="J65" s="162">
        <f t="shared" ref="J65:J75" si="20">H65-G65</f>
        <v>17460</v>
      </c>
      <c r="K65" s="163">
        <f>H65/H$8</f>
        <v>1.1120465979997786E-2</v>
      </c>
    </row>
    <row r="66" spans="2:14" x14ac:dyDescent="0.25">
      <c r="B66" s="165" t="s">
        <v>106</v>
      </c>
      <c r="C66" s="166">
        <v>22767</v>
      </c>
      <c r="D66" s="166">
        <v>9088</v>
      </c>
      <c r="E66" s="166">
        <v>21826</v>
      </c>
      <c r="F66" s="166">
        <v>23626</v>
      </c>
      <c r="G66" s="166">
        <v>29910</v>
      </c>
      <c r="H66" s="166">
        <v>37748</v>
      </c>
      <c r="I66" s="167">
        <f>IFERROR(H66/G66-1,"-")</f>
        <v>0.26205282514209305</v>
      </c>
      <c r="J66" s="166">
        <f t="shared" si="20"/>
        <v>7838</v>
      </c>
      <c r="K66" s="167">
        <f>H66/H$8</f>
        <v>6.7648963742176944E-3</v>
      </c>
    </row>
    <row r="67" spans="2:14" x14ac:dyDescent="0.25">
      <c r="B67" s="165" t="s">
        <v>103</v>
      </c>
      <c r="C67" s="166">
        <v>19417</v>
      </c>
      <c r="D67" s="166">
        <v>15855</v>
      </c>
      <c r="E67" s="166">
        <v>4747</v>
      </c>
      <c r="F67" s="166">
        <v>9236</v>
      </c>
      <c r="G67" s="166">
        <v>14682</v>
      </c>
      <c r="H67" s="166">
        <v>24304</v>
      </c>
      <c r="I67" s="167">
        <f>IFERROR(H67/G67-1,"-")</f>
        <v>0.65536030513554011</v>
      </c>
      <c r="J67" s="166">
        <f t="shared" si="20"/>
        <v>9622</v>
      </c>
      <c r="K67" s="167">
        <f>H67/H$8</f>
        <v>4.3555696057800903E-3</v>
      </c>
    </row>
    <row r="68" spans="2:14" x14ac:dyDescent="0.25">
      <c r="B68" s="161" t="s">
        <v>110</v>
      </c>
      <c r="C68" s="162">
        <v>96976</v>
      </c>
      <c r="D68" s="162">
        <v>32934</v>
      </c>
      <c r="E68" s="162">
        <v>44672</v>
      </c>
      <c r="F68" s="162">
        <v>131408</v>
      </c>
      <c r="G68" s="162">
        <v>132587</v>
      </c>
      <c r="H68" s="162">
        <v>172728</v>
      </c>
      <c r="I68" s="163">
        <f>IFERROR(H68/G68-1,"-")</f>
        <v>0.30275215518866849</v>
      </c>
      <c r="J68" s="162">
        <f t="shared" si="20"/>
        <v>40141</v>
      </c>
      <c r="K68" s="163">
        <f>H68/H$8</f>
        <v>3.0954938564317948E-2</v>
      </c>
    </row>
    <row r="69" spans="2:14" x14ac:dyDescent="0.25">
      <c r="B69" s="165" t="s">
        <v>113</v>
      </c>
      <c r="C69" s="166">
        <v>41886</v>
      </c>
      <c r="D69" s="166">
        <v>14718</v>
      </c>
      <c r="E69" s="166">
        <v>12269</v>
      </c>
      <c r="F69" s="166">
        <v>56760</v>
      </c>
      <c r="G69" s="166">
        <v>50937</v>
      </c>
      <c r="H69" s="166">
        <v>74234</v>
      </c>
      <c r="I69" s="167">
        <f t="shared" ref="I69:I76" si="21">IFERROR(H69/G69-1,"-")</f>
        <v>0.4573689066886546</v>
      </c>
      <c r="J69" s="166">
        <f t="shared" si="20"/>
        <v>23297</v>
      </c>
      <c r="K69" s="167">
        <f t="shared" ref="K69:K76" si="22">H69/H$8</f>
        <v>1.3303627144316953E-2</v>
      </c>
    </row>
    <row r="70" spans="2:14" x14ac:dyDescent="0.25">
      <c r="B70" s="165" t="s">
        <v>116</v>
      </c>
      <c r="C70" s="166">
        <v>11748</v>
      </c>
      <c r="D70" s="166">
        <v>3483</v>
      </c>
      <c r="E70" s="166">
        <v>3758</v>
      </c>
      <c r="F70" s="166">
        <v>7893</v>
      </c>
      <c r="G70" s="166">
        <v>11764</v>
      </c>
      <c r="H70" s="166">
        <v>10979</v>
      </c>
      <c r="I70" s="167">
        <f t="shared" si="21"/>
        <v>-6.6729003740224391E-2</v>
      </c>
      <c r="J70" s="166">
        <f t="shared" si="20"/>
        <v>-785</v>
      </c>
      <c r="K70" s="167">
        <f t="shared" si="22"/>
        <v>1.9675690710113402E-3</v>
      </c>
    </row>
    <row r="71" spans="2:14" x14ac:dyDescent="0.25">
      <c r="B71" s="165" t="s">
        <v>119</v>
      </c>
      <c r="C71" s="166">
        <v>10984</v>
      </c>
      <c r="D71" s="166">
        <v>3686</v>
      </c>
      <c r="E71" s="166">
        <v>6316</v>
      </c>
      <c r="F71" s="166">
        <v>18292</v>
      </c>
      <c r="G71" s="166">
        <v>15014</v>
      </c>
      <c r="H71" s="166">
        <v>19275</v>
      </c>
      <c r="I71" s="167">
        <f t="shared" si="21"/>
        <v>0.283801785000666</v>
      </c>
      <c r="J71" s="166">
        <f t="shared" si="20"/>
        <v>4261</v>
      </c>
      <c r="K71" s="167">
        <f t="shared" si="22"/>
        <v>3.4543122182114565E-3</v>
      </c>
    </row>
    <row r="72" spans="2:14" x14ac:dyDescent="0.25">
      <c r="B72" s="165" t="s">
        <v>126</v>
      </c>
      <c r="C72" s="166">
        <v>1818</v>
      </c>
      <c r="D72" s="166">
        <v>547</v>
      </c>
      <c r="E72" s="166">
        <v>3888</v>
      </c>
      <c r="F72" s="166">
        <v>3841</v>
      </c>
      <c r="G72" s="166">
        <v>4002</v>
      </c>
      <c r="H72" s="166">
        <v>6545</v>
      </c>
      <c r="I72" s="167">
        <f t="shared" si="21"/>
        <v>0.63543228385807105</v>
      </c>
      <c r="J72" s="166">
        <f t="shared" si="20"/>
        <v>2543</v>
      </c>
      <c r="K72" s="167">
        <f t="shared" si="22"/>
        <v>1.1729428517869771E-3</v>
      </c>
    </row>
    <row r="73" spans="2:14" x14ac:dyDescent="0.25">
      <c r="B73" s="165" t="s">
        <v>122</v>
      </c>
      <c r="C73" s="166">
        <v>2536</v>
      </c>
      <c r="D73" s="166">
        <v>1317</v>
      </c>
      <c r="E73" s="166">
        <v>2003</v>
      </c>
      <c r="F73" s="166">
        <v>3259</v>
      </c>
      <c r="G73" s="166">
        <v>2269</v>
      </c>
      <c r="H73" s="166">
        <v>4239</v>
      </c>
      <c r="I73" s="167">
        <f t="shared" si="21"/>
        <v>0.86822388717496701</v>
      </c>
      <c r="J73" s="166">
        <f t="shared" si="20"/>
        <v>1970</v>
      </c>
      <c r="K73" s="167">
        <f t="shared" si="22"/>
        <v>7.5967986993506428E-4</v>
      </c>
    </row>
    <row r="74" spans="2:14" x14ac:dyDescent="0.25">
      <c r="B74" s="165" t="s">
        <v>131</v>
      </c>
      <c r="C74" s="166">
        <v>2206</v>
      </c>
      <c r="D74" s="166">
        <v>768</v>
      </c>
      <c r="E74" s="166">
        <v>1848</v>
      </c>
      <c r="F74" s="166">
        <v>3131</v>
      </c>
      <c r="G74" s="166">
        <v>3796</v>
      </c>
      <c r="H74" s="166">
        <v>3211</v>
      </c>
      <c r="I74" s="167">
        <f t="shared" si="21"/>
        <v>-0.15410958904109584</v>
      </c>
      <c r="J74" s="166">
        <f t="shared" si="20"/>
        <v>-585</v>
      </c>
      <c r="K74" s="167">
        <f t="shared" si="22"/>
        <v>5.7544988496378662E-4</v>
      </c>
    </row>
    <row r="75" spans="2:14" x14ac:dyDescent="0.25">
      <c r="B75" s="165" t="s">
        <v>134</v>
      </c>
      <c r="C75" s="166">
        <v>2361</v>
      </c>
      <c r="D75" s="166">
        <v>997</v>
      </c>
      <c r="E75" s="166">
        <v>363</v>
      </c>
      <c r="F75" s="166">
        <v>1012</v>
      </c>
      <c r="G75" s="166">
        <v>1155</v>
      </c>
      <c r="H75" s="166">
        <v>3205</v>
      </c>
      <c r="I75" s="167">
        <f t="shared" si="21"/>
        <v>1.774891774891775</v>
      </c>
      <c r="J75" s="166">
        <f t="shared" si="20"/>
        <v>2050</v>
      </c>
      <c r="K75" s="167">
        <f t="shared" si="22"/>
        <v>5.7437461267796208E-4</v>
      </c>
    </row>
    <row r="76" spans="2:14" x14ac:dyDescent="0.25">
      <c r="B76" s="170" t="s">
        <v>148</v>
      </c>
      <c r="C76" s="171">
        <f t="shared" ref="C76:H76" si="23">C68-SUM(C69:C75)</f>
        <v>23437</v>
      </c>
      <c r="D76" s="171">
        <f t="shared" si="23"/>
        <v>7418</v>
      </c>
      <c r="E76" s="171">
        <f t="shared" si="23"/>
        <v>14227</v>
      </c>
      <c r="F76" s="171">
        <f t="shared" si="23"/>
        <v>37220</v>
      </c>
      <c r="G76" s="171">
        <f t="shared" si="23"/>
        <v>43650</v>
      </c>
      <c r="H76" s="171">
        <f t="shared" si="23"/>
        <v>51040</v>
      </c>
      <c r="I76" s="172">
        <f t="shared" si="21"/>
        <v>0.16930126002290957</v>
      </c>
      <c r="J76" s="171">
        <f>H76-G76</f>
        <v>7390</v>
      </c>
      <c r="K76" s="172">
        <f t="shared" si="22"/>
        <v>9.1469829114144089E-3</v>
      </c>
    </row>
    <row r="77" spans="2:14" x14ac:dyDescent="0.25">
      <c r="B77" s="157" t="s">
        <v>51</v>
      </c>
      <c r="C77" s="155"/>
      <c r="D77" s="155"/>
      <c r="E77" s="155"/>
      <c r="F77" s="155"/>
      <c r="G77" s="155"/>
      <c r="H77" s="156"/>
      <c r="I77" s="156"/>
      <c r="J77" s="156"/>
      <c r="K77" s="155"/>
      <c r="L77" s="173"/>
      <c r="M77" s="173"/>
      <c r="N77" s="173"/>
    </row>
    <row r="78" spans="2:14" x14ac:dyDescent="0.25">
      <c r="B78" s="158" t="s">
        <v>71</v>
      </c>
      <c r="C78" s="159">
        <v>806433</v>
      </c>
      <c r="D78" s="159">
        <v>240954</v>
      </c>
      <c r="E78" s="159">
        <v>355287</v>
      </c>
      <c r="F78" s="159">
        <v>720575</v>
      </c>
      <c r="G78" s="159">
        <v>813714</v>
      </c>
      <c r="H78" s="159">
        <v>930653</v>
      </c>
      <c r="I78" s="160">
        <f>IFERROR(H78/G78-1,"-")</f>
        <v>0.1437101979319515</v>
      </c>
      <c r="J78" s="159">
        <f>H78-G78</f>
        <v>116939</v>
      </c>
      <c r="K78" s="160">
        <f>H78/H$8</f>
        <v>0.16678422976991683</v>
      </c>
      <c r="L78" s="107"/>
      <c r="M78" s="107"/>
      <c r="N78" s="107"/>
    </row>
    <row r="79" spans="2:14" x14ac:dyDescent="0.25">
      <c r="B79" s="161" t="s">
        <v>100</v>
      </c>
      <c r="C79" s="162">
        <v>359704</v>
      </c>
      <c r="D79" s="162">
        <v>106972</v>
      </c>
      <c r="E79" s="162">
        <v>181937</v>
      </c>
      <c r="F79" s="162">
        <v>344530</v>
      </c>
      <c r="G79" s="162">
        <v>347137</v>
      </c>
      <c r="H79" s="162">
        <v>385380</v>
      </c>
      <c r="I79" s="163">
        <f>IFERROR(H79/G79-1,"-")</f>
        <v>0.11016687935886993</v>
      </c>
      <c r="J79" s="162">
        <f t="shared" ref="J79:J89" si="24">H79-G79</f>
        <v>38243</v>
      </c>
      <c r="K79" s="163">
        <f>H79/H$8</f>
        <v>6.9064738918512641E-2</v>
      </c>
    </row>
    <row r="80" spans="2:14" x14ac:dyDescent="0.25">
      <c r="B80" s="165" t="s">
        <v>106</v>
      </c>
      <c r="C80" s="166">
        <v>72375</v>
      </c>
      <c r="D80" s="166">
        <v>28709</v>
      </c>
      <c r="E80" s="166">
        <v>67081</v>
      </c>
      <c r="F80" s="166">
        <v>97691</v>
      </c>
      <c r="G80" s="166">
        <v>93289</v>
      </c>
      <c r="H80" s="166">
        <v>106751</v>
      </c>
      <c r="I80" s="167">
        <f>IFERROR(H80/G80-1,"-")</f>
        <v>0.1443042588086485</v>
      </c>
      <c r="J80" s="166">
        <f t="shared" si="24"/>
        <v>13462</v>
      </c>
      <c r="K80" s="167">
        <f>H80/H$8</f>
        <v>1.9131065297343253E-2</v>
      </c>
    </row>
    <row r="81" spans="2:14" x14ac:dyDescent="0.25">
      <c r="B81" s="165" t="s">
        <v>103</v>
      </c>
      <c r="C81" s="166">
        <v>287329</v>
      </c>
      <c r="D81" s="166">
        <v>78263</v>
      </c>
      <c r="E81" s="166">
        <v>114856</v>
      </c>
      <c r="F81" s="166">
        <v>246839</v>
      </c>
      <c r="G81" s="166">
        <v>253848</v>
      </c>
      <c r="H81" s="166">
        <v>278629</v>
      </c>
      <c r="I81" s="167">
        <f>IFERROR(H81/G81-1,"-")</f>
        <v>9.7621411238221212E-2</v>
      </c>
      <c r="J81" s="166">
        <f t="shared" si="24"/>
        <v>24781</v>
      </c>
      <c r="K81" s="167">
        <f>H81/H$8</f>
        <v>4.9933673621169385E-2</v>
      </c>
    </row>
    <row r="82" spans="2:14" x14ac:dyDescent="0.25">
      <c r="B82" s="161" t="s">
        <v>110</v>
      </c>
      <c r="C82" s="162">
        <v>446729</v>
      </c>
      <c r="D82" s="162">
        <v>133982</v>
      </c>
      <c r="E82" s="162">
        <v>173350</v>
      </c>
      <c r="F82" s="162">
        <v>376045</v>
      </c>
      <c r="G82" s="162">
        <v>466577</v>
      </c>
      <c r="H82" s="162">
        <v>545273</v>
      </c>
      <c r="I82" s="163">
        <f>IFERROR(H82/G82-1,"-")</f>
        <v>0.16866669381474009</v>
      </c>
      <c r="J82" s="162">
        <f t="shared" si="24"/>
        <v>78696</v>
      </c>
      <c r="K82" s="163">
        <f>H82/H$8</f>
        <v>9.7719490851404175E-2</v>
      </c>
    </row>
    <row r="83" spans="2:14" x14ac:dyDescent="0.25">
      <c r="B83" s="165" t="s">
        <v>113</v>
      </c>
      <c r="C83" s="166">
        <v>76312</v>
      </c>
      <c r="D83" s="166">
        <v>22762</v>
      </c>
      <c r="E83" s="166">
        <v>16831</v>
      </c>
      <c r="F83" s="166">
        <v>72242</v>
      </c>
      <c r="G83" s="166">
        <v>95918</v>
      </c>
      <c r="H83" s="166">
        <v>112291</v>
      </c>
      <c r="I83" s="167">
        <f t="shared" ref="I83:I90" si="25">IFERROR(H83/G83-1,"-")</f>
        <v>0.17069788777914474</v>
      </c>
      <c r="J83" s="166">
        <f t="shared" si="24"/>
        <v>16373</v>
      </c>
      <c r="K83" s="167">
        <f t="shared" ref="K83:K90" si="26">H83/H$8</f>
        <v>2.0123900041254614E-2</v>
      </c>
    </row>
    <row r="84" spans="2:14" x14ac:dyDescent="0.25">
      <c r="B84" s="165" t="s">
        <v>116</v>
      </c>
      <c r="C84" s="166">
        <v>165058</v>
      </c>
      <c r="D84" s="166">
        <v>44357</v>
      </c>
      <c r="E84" s="166">
        <v>53608</v>
      </c>
      <c r="F84" s="166">
        <v>116860</v>
      </c>
      <c r="G84" s="166">
        <v>132043</v>
      </c>
      <c r="H84" s="166">
        <v>146632</v>
      </c>
      <c r="I84" s="167">
        <f t="shared" si="25"/>
        <v>0.11048673538165588</v>
      </c>
      <c r="J84" s="166">
        <f t="shared" si="24"/>
        <v>14589</v>
      </c>
      <c r="K84" s="167">
        <f t="shared" si="26"/>
        <v>2.6278220969171585E-2</v>
      </c>
    </row>
    <row r="85" spans="2:14" x14ac:dyDescent="0.25">
      <c r="B85" s="165" t="s">
        <v>119</v>
      </c>
      <c r="C85" s="166">
        <v>25849</v>
      </c>
      <c r="D85" s="166">
        <v>8661</v>
      </c>
      <c r="E85" s="166">
        <v>20022</v>
      </c>
      <c r="F85" s="166">
        <v>31153</v>
      </c>
      <c r="G85" s="166">
        <v>42906</v>
      </c>
      <c r="H85" s="166">
        <v>58924</v>
      </c>
      <c r="I85" s="167">
        <f t="shared" si="25"/>
        <v>0.37332773971006383</v>
      </c>
      <c r="J85" s="166">
        <f t="shared" si="24"/>
        <v>16018</v>
      </c>
      <c r="K85" s="167">
        <f t="shared" si="26"/>
        <v>1.0559890694987905E-2</v>
      </c>
    </row>
    <row r="86" spans="2:14" x14ac:dyDescent="0.25">
      <c r="B86" s="165" t="s">
        <v>126</v>
      </c>
      <c r="C86" s="166">
        <v>9475</v>
      </c>
      <c r="D86" s="166">
        <v>2244</v>
      </c>
      <c r="E86" s="166">
        <v>6003</v>
      </c>
      <c r="F86" s="166">
        <v>10961</v>
      </c>
      <c r="G86" s="166">
        <v>13252</v>
      </c>
      <c r="H86" s="166">
        <v>18799</v>
      </c>
      <c r="I86" s="167">
        <f t="shared" si="25"/>
        <v>0.41857832779957738</v>
      </c>
      <c r="J86" s="166">
        <f t="shared" si="24"/>
        <v>5547</v>
      </c>
      <c r="K86" s="167">
        <f t="shared" si="26"/>
        <v>3.36900728353604E-3</v>
      </c>
    </row>
    <row r="87" spans="2:14" x14ac:dyDescent="0.25">
      <c r="B87" s="165" t="s">
        <v>122</v>
      </c>
      <c r="C87" s="166">
        <v>6356</v>
      </c>
      <c r="D87" s="166">
        <v>2176</v>
      </c>
      <c r="E87" s="166">
        <v>5208</v>
      </c>
      <c r="F87" s="166">
        <v>6016</v>
      </c>
      <c r="G87" s="166">
        <v>7139</v>
      </c>
      <c r="H87" s="166">
        <v>9111</v>
      </c>
      <c r="I87" s="167">
        <f t="shared" si="25"/>
        <v>0.27622916374842421</v>
      </c>
      <c r="J87" s="166">
        <f t="shared" si="24"/>
        <v>1972</v>
      </c>
      <c r="K87" s="167">
        <f t="shared" si="26"/>
        <v>1.6328009660246216E-3</v>
      </c>
    </row>
    <row r="88" spans="2:14" x14ac:dyDescent="0.25">
      <c r="B88" s="165" t="s">
        <v>131</v>
      </c>
      <c r="C88" s="166">
        <v>8896</v>
      </c>
      <c r="D88" s="166">
        <v>3378</v>
      </c>
      <c r="E88" s="166">
        <v>2579</v>
      </c>
      <c r="F88" s="166">
        <v>7789</v>
      </c>
      <c r="G88" s="166">
        <v>8637</v>
      </c>
      <c r="H88" s="166">
        <v>7642</v>
      </c>
      <c r="I88" s="167">
        <f t="shared" si="25"/>
        <v>-0.11520203774458726</v>
      </c>
      <c r="J88" s="166">
        <f t="shared" si="24"/>
        <v>-995</v>
      </c>
      <c r="K88" s="167">
        <f t="shared" si="26"/>
        <v>1.3695384680452373E-3</v>
      </c>
    </row>
    <row r="89" spans="2:14" x14ac:dyDescent="0.25">
      <c r="B89" s="165" t="s">
        <v>134</v>
      </c>
      <c r="C89" s="166">
        <v>13727</v>
      </c>
      <c r="D89" s="166">
        <v>5590</v>
      </c>
      <c r="E89" s="166">
        <v>2828</v>
      </c>
      <c r="F89" s="166">
        <v>7908</v>
      </c>
      <c r="G89" s="166">
        <v>10243</v>
      </c>
      <c r="H89" s="166">
        <v>10058</v>
      </c>
      <c r="I89" s="167">
        <f t="shared" si="25"/>
        <v>-1.8061114907741871E-2</v>
      </c>
      <c r="J89" s="166">
        <f t="shared" si="24"/>
        <v>-185</v>
      </c>
      <c r="K89" s="167">
        <f t="shared" si="26"/>
        <v>1.8025147751372674E-3</v>
      </c>
    </row>
    <row r="90" spans="2:14" x14ac:dyDescent="0.25">
      <c r="B90" s="170" t="s">
        <v>148</v>
      </c>
      <c r="C90" s="171">
        <f t="shared" ref="C90:H90" si="27">C82-SUM(C83:C89)</f>
        <v>141056</v>
      </c>
      <c r="D90" s="171">
        <f t="shared" si="27"/>
        <v>44814</v>
      </c>
      <c r="E90" s="171">
        <f t="shared" si="27"/>
        <v>66271</v>
      </c>
      <c r="F90" s="171">
        <f t="shared" si="27"/>
        <v>123116</v>
      </c>
      <c r="G90" s="171">
        <f t="shared" si="27"/>
        <v>156439</v>
      </c>
      <c r="H90" s="171">
        <f t="shared" si="27"/>
        <v>181816</v>
      </c>
      <c r="I90" s="172">
        <f t="shared" si="25"/>
        <v>0.16221658282141926</v>
      </c>
      <c r="J90" s="171">
        <f>H90-G90</f>
        <v>25377</v>
      </c>
      <c r="K90" s="172">
        <f t="shared" si="26"/>
        <v>3.258361765324691E-2</v>
      </c>
    </row>
    <row r="91" spans="2:14" x14ac:dyDescent="0.25">
      <c r="B91" s="157" t="s">
        <v>52</v>
      </c>
      <c r="C91" s="155"/>
      <c r="D91" s="155"/>
      <c r="E91" s="155"/>
      <c r="F91" s="155"/>
      <c r="G91" s="155"/>
      <c r="H91" s="156"/>
      <c r="I91" s="156"/>
      <c r="J91" s="156"/>
      <c r="K91" s="155"/>
      <c r="L91" s="173"/>
      <c r="M91" s="173"/>
      <c r="N91" s="173"/>
    </row>
    <row r="92" spans="2:14" x14ac:dyDescent="0.25">
      <c r="B92" s="158" t="s">
        <v>71</v>
      </c>
      <c r="C92" s="159">
        <v>56230</v>
      </c>
      <c r="D92" s="159">
        <v>24525</v>
      </c>
      <c r="E92" s="159">
        <v>33497</v>
      </c>
      <c r="F92" s="159">
        <v>51855</v>
      </c>
      <c r="G92" s="159">
        <v>58492</v>
      </c>
      <c r="H92" s="159">
        <v>57716</v>
      </c>
      <c r="I92" s="160">
        <f>IFERROR(H92/G92-1,"-")</f>
        <v>-1.3266771524310994E-2</v>
      </c>
      <c r="J92" s="159">
        <f>H92-G92</f>
        <v>-776</v>
      </c>
      <c r="K92" s="160">
        <f>H92/H$8</f>
        <v>1.0343402541441889E-2</v>
      </c>
      <c r="L92" s="107"/>
      <c r="M92" s="107"/>
      <c r="N92" s="107"/>
    </row>
    <row r="93" spans="2:14" x14ac:dyDescent="0.25">
      <c r="B93" s="161" t="s">
        <v>100</v>
      </c>
      <c r="C93" s="162">
        <v>37202</v>
      </c>
      <c r="D93" s="162">
        <v>16099</v>
      </c>
      <c r="E93" s="162">
        <v>21736</v>
      </c>
      <c r="F93" s="162">
        <v>33927</v>
      </c>
      <c r="G93" s="162">
        <v>37822</v>
      </c>
      <c r="H93" s="162">
        <v>35882</v>
      </c>
      <c r="I93" s="163">
        <f>IFERROR(H93/G93-1,"-")</f>
        <v>-5.1292898313151092E-2</v>
      </c>
      <c r="J93" s="162">
        <f t="shared" ref="J93:J103" si="28">H93-G93</f>
        <v>-1940</v>
      </c>
      <c r="K93" s="163">
        <f>H93/H$8</f>
        <v>6.4304866933262506E-3</v>
      </c>
    </row>
    <row r="94" spans="2:14" x14ac:dyDescent="0.25">
      <c r="B94" s="165" t="s">
        <v>106</v>
      </c>
      <c r="C94" s="166">
        <v>19167</v>
      </c>
      <c r="D94" s="166">
        <v>8718</v>
      </c>
      <c r="E94" s="166">
        <v>11001</v>
      </c>
      <c r="F94" s="166">
        <v>16313</v>
      </c>
      <c r="G94" s="166">
        <v>12040</v>
      </c>
      <c r="H94" s="166">
        <v>11879</v>
      </c>
      <c r="I94" s="167">
        <f>IFERROR(H94/G94-1,"-")</f>
        <v>-1.3372093023255816E-2</v>
      </c>
      <c r="J94" s="166">
        <f t="shared" si="28"/>
        <v>-161</v>
      </c>
      <c r="K94" s="167">
        <f>H94/H$8</f>
        <v>2.128859913885027E-3</v>
      </c>
    </row>
    <row r="95" spans="2:14" x14ac:dyDescent="0.25">
      <c r="B95" s="165" t="s">
        <v>103</v>
      </c>
      <c r="C95" s="166">
        <v>18035</v>
      </c>
      <c r="D95" s="166">
        <v>7381</v>
      </c>
      <c r="E95" s="166">
        <v>10735</v>
      </c>
      <c r="F95" s="166">
        <v>17614</v>
      </c>
      <c r="G95" s="166">
        <v>25782</v>
      </c>
      <c r="H95" s="166">
        <v>24003</v>
      </c>
      <c r="I95" s="167">
        <f>IFERROR(H95/G95-1,"-")</f>
        <v>-6.9001629043518697E-2</v>
      </c>
      <c r="J95" s="166">
        <f t="shared" si="28"/>
        <v>-1779</v>
      </c>
      <c r="K95" s="167">
        <f>H95/H$8</f>
        <v>4.3016267794412236E-3</v>
      </c>
    </row>
    <row r="96" spans="2:14" x14ac:dyDescent="0.25">
      <c r="B96" s="161" t="s">
        <v>110</v>
      </c>
      <c r="C96" s="162">
        <v>19028</v>
      </c>
      <c r="D96" s="162">
        <v>8426</v>
      </c>
      <c r="E96" s="162">
        <v>11761</v>
      </c>
      <c r="F96" s="162">
        <v>17928</v>
      </c>
      <c r="G96" s="162">
        <v>20670</v>
      </c>
      <c r="H96" s="162">
        <v>21834</v>
      </c>
      <c r="I96" s="163">
        <f>IFERROR(H96/G96-1,"-")</f>
        <v>5.6313497822931824E-2</v>
      </c>
      <c r="J96" s="162">
        <f t="shared" si="28"/>
        <v>1164</v>
      </c>
      <c r="K96" s="163">
        <f>H96/H$8</f>
        <v>3.9129158481156388E-3</v>
      </c>
    </row>
    <row r="97" spans="2:14" x14ac:dyDescent="0.25">
      <c r="B97" s="165" t="s">
        <v>113</v>
      </c>
      <c r="C97" s="166">
        <v>2444</v>
      </c>
      <c r="D97" s="166">
        <v>1322</v>
      </c>
      <c r="E97" s="166">
        <v>921</v>
      </c>
      <c r="F97" s="166">
        <v>2452</v>
      </c>
      <c r="G97" s="166">
        <v>2854</v>
      </c>
      <c r="H97" s="166">
        <v>3049</v>
      </c>
      <c r="I97" s="167">
        <f t="shared" ref="I97:I104" si="29">IFERROR(H97/G97-1,"-")</f>
        <v>6.8325157673440717E-2</v>
      </c>
      <c r="J97" s="166">
        <f t="shared" si="28"/>
        <v>195</v>
      </c>
      <c r="K97" s="167">
        <f t="shared" ref="K97:K104" si="30">H97/H$8</f>
        <v>5.46417533246523E-4</v>
      </c>
    </row>
    <row r="98" spans="2:14" x14ac:dyDescent="0.25">
      <c r="B98" s="165" t="s">
        <v>116</v>
      </c>
      <c r="C98" s="166">
        <v>4049</v>
      </c>
      <c r="D98" s="166">
        <v>1580</v>
      </c>
      <c r="E98" s="166">
        <v>2403</v>
      </c>
      <c r="F98" s="166">
        <v>3583</v>
      </c>
      <c r="G98" s="166">
        <v>3895</v>
      </c>
      <c r="H98" s="166">
        <v>4329</v>
      </c>
      <c r="I98" s="167">
        <f t="shared" si="29"/>
        <v>0.11142490372272151</v>
      </c>
      <c r="J98" s="166">
        <f t="shared" si="28"/>
        <v>434</v>
      </c>
      <c r="K98" s="167">
        <f t="shared" si="30"/>
        <v>7.7580895422243296E-4</v>
      </c>
    </row>
    <row r="99" spans="2:14" x14ac:dyDescent="0.25">
      <c r="B99" s="165" t="s">
        <v>119</v>
      </c>
      <c r="C99" s="166">
        <v>3873</v>
      </c>
      <c r="D99" s="166">
        <v>1996</v>
      </c>
      <c r="E99" s="166">
        <v>3569</v>
      </c>
      <c r="F99" s="166">
        <v>3436</v>
      </c>
      <c r="G99" s="166">
        <v>3896</v>
      </c>
      <c r="H99" s="166">
        <v>3724</v>
      </c>
      <c r="I99" s="167">
        <f t="shared" si="29"/>
        <v>-4.4147843942505149E-2</v>
      </c>
      <c r="J99" s="166">
        <f t="shared" si="28"/>
        <v>-172</v>
      </c>
      <c r="K99" s="167">
        <f t="shared" si="30"/>
        <v>6.6738566540178808E-4</v>
      </c>
    </row>
    <row r="100" spans="2:14" x14ac:dyDescent="0.25">
      <c r="B100" s="165" t="s">
        <v>126</v>
      </c>
      <c r="C100" s="166">
        <v>707</v>
      </c>
      <c r="D100" s="166">
        <v>327</v>
      </c>
      <c r="E100" s="166">
        <v>432</v>
      </c>
      <c r="F100" s="166">
        <v>1179</v>
      </c>
      <c r="G100" s="166">
        <v>952</v>
      </c>
      <c r="H100" s="166">
        <v>948</v>
      </c>
      <c r="I100" s="167">
        <f t="shared" si="29"/>
        <v>-4.2016806722688926E-3</v>
      </c>
      <c r="J100" s="166">
        <f t="shared" si="28"/>
        <v>-4</v>
      </c>
      <c r="K100" s="167">
        <f t="shared" si="30"/>
        <v>1.698930211602833E-4</v>
      </c>
    </row>
    <row r="101" spans="2:14" x14ac:dyDescent="0.25">
      <c r="B101" s="165" t="s">
        <v>122</v>
      </c>
      <c r="C101" s="166">
        <v>526</v>
      </c>
      <c r="D101" s="166">
        <v>354</v>
      </c>
      <c r="E101" s="166">
        <v>507</v>
      </c>
      <c r="F101" s="166">
        <v>697</v>
      </c>
      <c r="G101" s="166">
        <v>659</v>
      </c>
      <c r="H101" s="166">
        <v>908</v>
      </c>
      <c r="I101" s="167">
        <f t="shared" si="29"/>
        <v>0.37784522003034904</v>
      </c>
      <c r="J101" s="166">
        <f t="shared" si="28"/>
        <v>249</v>
      </c>
      <c r="K101" s="167">
        <f t="shared" si="30"/>
        <v>1.6272453925478614E-4</v>
      </c>
    </row>
    <row r="102" spans="2:14" x14ac:dyDescent="0.25">
      <c r="B102" s="165" t="s">
        <v>131</v>
      </c>
      <c r="C102" s="166">
        <v>167</v>
      </c>
      <c r="D102" s="166">
        <v>129</v>
      </c>
      <c r="E102" s="166">
        <v>105</v>
      </c>
      <c r="F102" s="166">
        <v>270</v>
      </c>
      <c r="G102" s="166">
        <v>156</v>
      </c>
      <c r="H102" s="166">
        <v>238</v>
      </c>
      <c r="I102" s="167">
        <f t="shared" si="29"/>
        <v>0.52564102564102555</v>
      </c>
      <c r="J102" s="166">
        <f t="shared" si="28"/>
        <v>82</v>
      </c>
      <c r="K102" s="167">
        <f t="shared" si="30"/>
        <v>4.2652467337708257E-5</v>
      </c>
    </row>
    <row r="103" spans="2:14" x14ac:dyDescent="0.25">
      <c r="B103" s="165" t="s">
        <v>134</v>
      </c>
      <c r="C103" s="166">
        <v>273</v>
      </c>
      <c r="D103" s="166">
        <v>96</v>
      </c>
      <c r="E103" s="166">
        <v>96</v>
      </c>
      <c r="F103" s="166">
        <v>168</v>
      </c>
      <c r="G103" s="166">
        <v>270</v>
      </c>
      <c r="H103" s="166">
        <v>384</v>
      </c>
      <c r="I103" s="167">
        <f t="shared" si="29"/>
        <v>0.42222222222222228</v>
      </c>
      <c r="J103" s="166">
        <f t="shared" si="28"/>
        <v>114</v>
      </c>
      <c r="K103" s="167">
        <f t="shared" si="30"/>
        <v>6.8817426292772988E-5</v>
      </c>
    </row>
    <row r="104" spans="2:14" x14ac:dyDescent="0.25">
      <c r="B104" s="170" t="s">
        <v>148</v>
      </c>
      <c r="C104" s="171">
        <f t="shared" ref="C104:H104" si="31">C96-SUM(C97:C103)</f>
        <v>6989</v>
      </c>
      <c r="D104" s="171">
        <f t="shared" si="31"/>
        <v>2622</v>
      </c>
      <c r="E104" s="171">
        <f t="shared" si="31"/>
        <v>3728</v>
      </c>
      <c r="F104" s="171">
        <f t="shared" si="31"/>
        <v>6143</v>
      </c>
      <c r="G104" s="171">
        <f t="shared" si="31"/>
        <v>7988</v>
      </c>
      <c r="H104" s="171">
        <f t="shared" si="31"/>
        <v>8254</v>
      </c>
      <c r="I104" s="172">
        <f t="shared" si="29"/>
        <v>3.3299949924887384E-2</v>
      </c>
      <c r="J104" s="171">
        <f>H104-G104</f>
        <v>266</v>
      </c>
      <c r="K104" s="172">
        <f t="shared" si="30"/>
        <v>1.4792162411993443E-3</v>
      </c>
    </row>
    <row r="105" spans="2:14" x14ac:dyDescent="0.25">
      <c r="B105" s="157" t="s">
        <v>53</v>
      </c>
      <c r="C105" s="155"/>
      <c r="D105" s="155"/>
      <c r="E105" s="155"/>
      <c r="F105" s="155"/>
      <c r="G105" s="155"/>
      <c r="H105" s="156"/>
      <c r="I105" s="156"/>
      <c r="J105" s="156"/>
      <c r="K105" s="155"/>
      <c r="L105" s="173"/>
      <c r="M105" s="173"/>
      <c r="N105" s="173"/>
    </row>
    <row r="106" spans="2:14" x14ac:dyDescent="0.25">
      <c r="B106" s="158" t="s">
        <v>71</v>
      </c>
      <c r="C106" s="159">
        <v>146100</v>
      </c>
      <c r="D106" s="159">
        <v>80970</v>
      </c>
      <c r="E106" s="159">
        <v>108554</v>
      </c>
      <c r="F106" s="159">
        <v>202302</v>
      </c>
      <c r="G106" s="159">
        <v>255835</v>
      </c>
      <c r="H106" s="159">
        <v>243005</v>
      </c>
      <c r="I106" s="160">
        <f>IFERROR(H106/G106-1,"-")</f>
        <v>-5.0149510426642174E-2</v>
      </c>
      <c r="J106" s="159">
        <f>H106-G106</f>
        <v>-12830</v>
      </c>
      <c r="K106" s="160">
        <f>H106/H$8</f>
        <v>4.3549423636133594E-2</v>
      </c>
      <c r="L106" s="107"/>
      <c r="M106" s="107"/>
      <c r="N106" s="107"/>
    </row>
    <row r="107" spans="2:14" x14ac:dyDescent="0.25">
      <c r="B107" s="161" t="s">
        <v>100</v>
      </c>
      <c r="C107" s="162">
        <v>31233</v>
      </c>
      <c r="D107" s="162">
        <v>31472</v>
      </c>
      <c r="E107" s="162">
        <v>44464</v>
      </c>
      <c r="F107" s="162">
        <v>49222</v>
      </c>
      <c r="G107" s="162">
        <v>56357</v>
      </c>
      <c r="H107" s="162">
        <v>50393</v>
      </c>
      <c r="I107" s="163">
        <f>IFERROR(H107/G107-1,"-")</f>
        <v>-0.10582536330890568</v>
      </c>
      <c r="J107" s="162">
        <f t="shared" ref="J107:J117" si="32">H107-G107</f>
        <v>-5964</v>
      </c>
      <c r="K107" s="163">
        <f>H107/H$8</f>
        <v>9.0310327165929929E-3</v>
      </c>
    </row>
    <row r="108" spans="2:14" x14ac:dyDescent="0.25">
      <c r="B108" s="165" t="s">
        <v>106</v>
      </c>
      <c r="C108" s="166">
        <v>11973</v>
      </c>
      <c r="D108" s="166">
        <v>4999</v>
      </c>
      <c r="E108" s="166">
        <v>24125</v>
      </c>
      <c r="F108" s="166">
        <v>16615</v>
      </c>
      <c r="G108" s="166">
        <v>19697</v>
      </c>
      <c r="H108" s="166">
        <v>16175</v>
      </c>
      <c r="I108" s="167">
        <f>IFERROR(H108/G108-1,"-")</f>
        <v>-0.17880895567852972</v>
      </c>
      <c r="J108" s="166">
        <f t="shared" si="32"/>
        <v>-3522</v>
      </c>
      <c r="K108" s="167">
        <f>H108/H$8</f>
        <v>2.8987548705354245E-3</v>
      </c>
    </row>
    <row r="109" spans="2:14" x14ac:dyDescent="0.25">
      <c r="B109" s="165" t="s">
        <v>103</v>
      </c>
      <c r="C109" s="166">
        <v>19260</v>
      </c>
      <c r="D109" s="166">
        <v>26473</v>
      </c>
      <c r="E109" s="166">
        <v>20339</v>
      </c>
      <c r="F109" s="166">
        <v>32607</v>
      </c>
      <c r="G109" s="166">
        <v>36660</v>
      </c>
      <c r="H109" s="166">
        <v>34218</v>
      </c>
      <c r="I109" s="167">
        <f>IFERROR(H109/G109-1,"-")</f>
        <v>-6.6612111292962406E-2</v>
      </c>
      <c r="J109" s="166">
        <f t="shared" si="32"/>
        <v>-2442</v>
      </c>
      <c r="K109" s="167">
        <f>H109/H$8</f>
        <v>6.132277846057568E-3</v>
      </c>
    </row>
    <row r="110" spans="2:14" x14ac:dyDescent="0.25">
      <c r="B110" s="161" t="s">
        <v>110</v>
      </c>
      <c r="C110" s="162">
        <v>114867</v>
      </c>
      <c r="D110" s="162">
        <v>49498</v>
      </c>
      <c r="E110" s="162">
        <v>64090</v>
      </c>
      <c r="F110" s="162">
        <v>153080</v>
      </c>
      <c r="G110" s="162">
        <v>199478</v>
      </c>
      <c r="H110" s="162">
        <v>192612</v>
      </c>
      <c r="I110" s="163">
        <f>IFERROR(H110/G110-1,"-")</f>
        <v>-3.4419835771363205E-2</v>
      </c>
      <c r="J110" s="162">
        <f t="shared" si="32"/>
        <v>-6866</v>
      </c>
      <c r="K110" s="163">
        <f>H110/H$8</f>
        <v>3.4518390919540599E-2</v>
      </c>
    </row>
    <row r="111" spans="2:14" x14ac:dyDescent="0.25">
      <c r="B111" s="165" t="s">
        <v>113</v>
      </c>
      <c r="C111" s="166">
        <v>62499</v>
      </c>
      <c r="D111" s="166">
        <v>27599</v>
      </c>
      <c r="E111" s="166">
        <v>27639</v>
      </c>
      <c r="F111" s="166">
        <v>92419</v>
      </c>
      <c r="G111" s="166">
        <v>129631</v>
      </c>
      <c r="H111" s="166">
        <v>118675</v>
      </c>
      <c r="I111" s="167">
        <f t="shared" ref="I111:I118" si="33">IFERROR(H111/G111-1,"-")</f>
        <v>-8.4516820822179928E-2</v>
      </c>
      <c r="J111" s="166">
        <f t="shared" si="32"/>
        <v>-10956</v>
      </c>
      <c r="K111" s="167">
        <f t="shared" ref="K111:K118" si="34">H111/H$8</f>
        <v>2.1267989753371963E-2</v>
      </c>
    </row>
    <row r="112" spans="2:14" x14ac:dyDescent="0.25">
      <c r="B112" s="165" t="s">
        <v>116</v>
      </c>
      <c r="C112" s="166">
        <v>10280</v>
      </c>
      <c r="D112" s="166">
        <v>3455</v>
      </c>
      <c r="E112" s="166">
        <v>7252</v>
      </c>
      <c r="F112" s="166">
        <v>7078</v>
      </c>
      <c r="G112" s="166">
        <v>9021</v>
      </c>
      <c r="H112" s="166">
        <v>8634</v>
      </c>
      <c r="I112" s="167">
        <f t="shared" si="33"/>
        <v>-4.2899900232790111E-2</v>
      </c>
      <c r="J112" s="166">
        <f t="shared" si="32"/>
        <v>-387</v>
      </c>
      <c r="K112" s="167">
        <f t="shared" si="34"/>
        <v>1.5473168193015677E-3</v>
      </c>
    </row>
    <row r="113" spans="2:14" x14ac:dyDescent="0.25">
      <c r="B113" s="165" t="s">
        <v>119</v>
      </c>
      <c r="C113" s="166">
        <v>11865</v>
      </c>
      <c r="D113" s="166">
        <v>2634</v>
      </c>
      <c r="E113" s="166">
        <v>6805</v>
      </c>
      <c r="F113" s="166">
        <v>9957</v>
      </c>
      <c r="G113" s="166">
        <v>13533</v>
      </c>
      <c r="H113" s="166">
        <v>14426</v>
      </c>
      <c r="I113" s="167">
        <f t="shared" si="33"/>
        <v>6.5986846966674007E-2</v>
      </c>
      <c r="J113" s="166">
        <f t="shared" si="32"/>
        <v>893</v>
      </c>
      <c r="K113" s="167">
        <f t="shared" si="34"/>
        <v>2.58531299921756E-3</v>
      </c>
    </row>
    <row r="114" spans="2:14" x14ac:dyDescent="0.25">
      <c r="B114" s="165" t="s">
        <v>126</v>
      </c>
      <c r="C114" s="166">
        <v>2538</v>
      </c>
      <c r="D114" s="166">
        <v>1345</v>
      </c>
      <c r="E114" s="166">
        <v>3663</v>
      </c>
      <c r="F114" s="166">
        <v>6446</v>
      </c>
      <c r="G114" s="166">
        <v>6578</v>
      </c>
      <c r="H114" s="166">
        <v>6559</v>
      </c>
      <c r="I114" s="167">
        <f t="shared" si="33"/>
        <v>-2.8884159318941505E-3</v>
      </c>
      <c r="J114" s="166">
        <f t="shared" si="32"/>
        <v>-19</v>
      </c>
      <c r="K114" s="167">
        <f t="shared" si="34"/>
        <v>1.1754518204539011E-3</v>
      </c>
    </row>
    <row r="115" spans="2:14" x14ac:dyDescent="0.25">
      <c r="B115" s="165" t="s">
        <v>122</v>
      </c>
      <c r="C115" s="166">
        <v>3881</v>
      </c>
      <c r="D115" s="166">
        <v>2913</v>
      </c>
      <c r="E115" s="166">
        <v>4378</v>
      </c>
      <c r="F115" s="166">
        <v>4936</v>
      </c>
      <c r="G115" s="166">
        <v>5433</v>
      </c>
      <c r="H115" s="166">
        <v>5255</v>
      </c>
      <c r="I115" s="167">
        <f t="shared" si="33"/>
        <v>-3.276274618074726E-2</v>
      </c>
      <c r="J115" s="166">
        <f t="shared" si="32"/>
        <v>-178</v>
      </c>
      <c r="K115" s="167">
        <f t="shared" si="34"/>
        <v>9.4175931033469286E-4</v>
      </c>
    </row>
    <row r="116" spans="2:14" x14ac:dyDescent="0.25">
      <c r="B116" s="165" t="s">
        <v>131</v>
      </c>
      <c r="C116" s="166">
        <v>835</v>
      </c>
      <c r="D116" s="166">
        <v>432</v>
      </c>
      <c r="E116" s="166">
        <v>369</v>
      </c>
      <c r="F116" s="166">
        <v>1303</v>
      </c>
      <c r="G116" s="166">
        <v>1474</v>
      </c>
      <c r="H116" s="166">
        <v>1240</v>
      </c>
      <c r="I116" s="167">
        <f t="shared" si="33"/>
        <v>-0.15875169606512896</v>
      </c>
      <c r="J116" s="166">
        <f t="shared" si="32"/>
        <v>-234</v>
      </c>
      <c r="K116" s="167">
        <f t="shared" si="34"/>
        <v>2.2222293907041277E-4</v>
      </c>
    </row>
    <row r="117" spans="2:14" x14ac:dyDescent="0.25">
      <c r="B117" s="165" t="s">
        <v>134</v>
      </c>
      <c r="C117" s="166">
        <v>1737</v>
      </c>
      <c r="D117" s="166">
        <v>1058</v>
      </c>
      <c r="E117" s="166">
        <v>521</v>
      </c>
      <c r="F117" s="166">
        <v>1015</v>
      </c>
      <c r="G117" s="166">
        <v>975</v>
      </c>
      <c r="H117" s="166">
        <v>1554</v>
      </c>
      <c r="I117" s="167">
        <f t="shared" si="33"/>
        <v>0.59384615384615391</v>
      </c>
      <c r="J117" s="166">
        <f t="shared" si="32"/>
        <v>579</v>
      </c>
      <c r="K117" s="167">
        <f t="shared" si="34"/>
        <v>2.7849552202856569E-4</v>
      </c>
    </row>
    <row r="118" spans="2:14" x14ac:dyDescent="0.25">
      <c r="B118" s="170" t="s">
        <v>148</v>
      </c>
      <c r="C118" s="171">
        <f t="shared" ref="C118:H118" si="35">C110-SUM(C111:C117)</f>
        <v>21232</v>
      </c>
      <c r="D118" s="171">
        <f t="shared" si="35"/>
        <v>10062</v>
      </c>
      <c r="E118" s="171">
        <f t="shared" si="35"/>
        <v>13463</v>
      </c>
      <c r="F118" s="171">
        <f t="shared" si="35"/>
        <v>29926</v>
      </c>
      <c r="G118" s="171">
        <f t="shared" si="35"/>
        <v>32833</v>
      </c>
      <c r="H118" s="171">
        <f t="shared" si="35"/>
        <v>36269</v>
      </c>
      <c r="I118" s="172">
        <f t="shared" si="33"/>
        <v>0.10465080863765119</v>
      </c>
      <c r="J118" s="171">
        <f>H118-G118</f>
        <v>3436</v>
      </c>
      <c r="K118" s="172">
        <f t="shared" si="34"/>
        <v>6.4998417557619358E-3</v>
      </c>
    </row>
    <row r="119" spans="2:14" x14ac:dyDescent="0.25">
      <c r="B119" s="157" t="s">
        <v>54</v>
      </c>
      <c r="C119" s="155"/>
      <c r="D119" s="155"/>
      <c r="E119" s="155"/>
      <c r="F119" s="155"/>
      <c r="G119" s="155"/>
      <c r="H119" s="156"/>
      <c r="I119" s="156"/>
      <c r="J119" s="156"/>
      <c r="K119" s="155"/>
      <c r="L119" s="173"/>
      <c r="M119" s="173"/>
      <c r="N119" s="173"/>
    </row>
    <row r="120" spans="2:14" x14ac:dyDescent="0.25">
      <c r="B120" s="158" t="s">
        <v>71</v>
      </c>
      <c r="C120" s="159">
        <v>221911</v>
      </c>
      <c r="D120" s="159">
        <v>104957</v>
      </c>
      <c r="E120" s="159">
        <v>164413</v>
      </c>
      <c r="F120" s="159">
        <v>230406</v>
      </c>
      <c r="G120" s="159">
        <v>241537</v>
      </c>
      <c r="H120" s="159">
        <v>252084</v>
      </c>
      <c r="I120" s="160">
        <f>IFERROR(H120/G120-1,"-")</f>
        <v>4.3666187789034305E-2</v>
      </c>
      <c r="J120" s="159">
        <f>H120-G120</f>
        <v>10547</v>
      </c>
      <c r="K120" s="160">
        <f>H120/H$8</f>
        <v>4.5176489816633816E-2</v>
      </c>
      <c r="L120" s="107"/>
      <c r="M120" s="107"/>
      <c r="N120" s="107"/>
    </row>
    <row r="121" spans="2:14" x14ac:dyDescent="0.25">
      <c r="B121" s="161" t="s">
        <v>100</v>
      </c>
      <c r="C121" s="162">
        <v>120598</v>
      </c>
      <c r="D121" s="162">
        <v>62021</v>
      </c>
      <c r="E121" s="162">
        <v>104603</v>
      </c>
      <c r="F121" s="162">
        <v>135281</v>
      </c>
      <c r="G121" s="162">
        <v>147661</v>
      </c>
      <c r="H121" s="162">
        <v>156478</v>
      </c>
      <c r="I121" s="163">
        <f>IFERROR(H121/G121-1,"-")</f>
        <v>5.971109500816052E-2</v>
      </c>
      <c r="J121" s="162">
        <f t="shared" ref="J121:J131" si="36">H121-G121</f>
        <v>8817</v>
      </c>
      <c r="K121" s="163">
        <f>H121/H$8</f>
        <v>2.8042742790209716E-2</v>
      </c>
    </row>
    <row r="122" spans="2:14" x14ac:dyDescent="0.25">
      <c r="B122" s="165" t="s">
        <v>106</v>
      </c>
      <c r="C122" s="166">
        <v>61234</v>
      </c>
      <c r="D122" s="166">
        <v>27977</v>
      </c>
      <c r="E122" s="166">
        <v>53258</v>
      </c>
      <c r="F122" s="166">
        <v>70019</v>
      </c>
      <c r="G122" s="166">
        <v>67219</v>
      </c>
      <c r="H122" s="166">
        <v>75350</v>
      </c>
      <c r="I122" s="167">
        <f>IFERROR(H122/G122-1,"-")</f>
        <v>0.12096282301135086</v>
      </c>
      <c r="J122" s="166">
        <f t="shared" si="36"/>
        <v>8131</v>
      </c>
      <c r="K122" s="167">
        <f>H122/H$8</f>
        <v>1.3503627789480324E-2</v>
      </c>
    </row>
    <row r="123" spans="2:14" x14ac:dyDescent="0.25">
      <c r="B123" s="165" t="s">
        <v>103</v>
      </c>
      <c r="C123" s="166">
        <v>59364</v>
      </c>
      <c r="D123" s="166">
        <v>34044</v>
      </c>
      <c r="E123" s="166">
        <v>51345</v>
      </c>
      <c r="F123" s="166">
        <v>65262</v>
      </c>
      <c r="G123" s="166">
        <v>80442</v>
      </c>
      <c r="H123" s="166">
        <v>81128</v>
      </c>
      <c r="I123" s="167">
        <f>IFERROR(H123/G123-1,"-")</f>
        <v>8.5278834439721507E-3</v>
      </c>
      <c r="J123" s="166">
        <f t="shared" si="36"/>
        <v>686</v>
      </c>
      <c r="K123" s="167">
        <f>H123/H$8</f>
        <v>1.4539115000729392E-2</v>
      </c>
    </row>
    <row r="124" spans="2:14" x14ac:dyDescent="0.25">
      <c r="B124" s="161" t="s">
        <v>110</v>
      </c>
      <c r="C124" s="162">
        <v>101313</v>
      </c>
      <c r="D124" s="162">
        <v>42936</v>
      </c>
      <c r="E124" s="162">
        <v>59810</v>
      </c>
      <c r="F124" s="162">
        <v>95125</v>
      </c>
      <c r="G124" s="162">
        <v>93876</v>
      </c>
      <c r="H124" s="162">
        <v>95606</v>
      </c>
      <c r="I124" s="163">
        <f>IFERROR(H124/G124-1,"-")</f>
        <v>1.842856534151438E-2</v>
      </c>
      <c r="J124" s="162">
        <f t="shared" si="36"/>
        <v>1730</v>
      </c>
      <c r="K124" s="163">
        <f>H124/H$8</f>
        <v>1.71337470264241E-2</v>
      </c>
    </row>
    <row r="125" spans="2:14" x14ac:dyDescent="0.25">
      <c r="B125" s="165" t="s">
        <v>113</v>
      </c>
      <c r="C125" s="166">
        <v>10592</v>
      </c>
      <c r="D125" s="166">
        <v>4067</v>
      </c>
      <c r="E125" s="166">
        <v>3346</v>
      </c>
      <c r="F125" s="166">
        <v>10000</v>
      </c>
      <c r="G125" s="166">
        <v>11778</v>
      </c>
      <c r="H125" s="166">
        <v>10803</v>
      </c>
      <c r="I125" s="167">
        <f t="shared" ref="I125:I132" si="37">IFERROR(H125/G125-1,"-")</f>
        <v>-8.2781456953642363E-2</v>
      </c>
      <c r="J125" s="166">
        <f t="shared" si="36"/>
        <v>-975</v>
      </c>
      <c r="K125" s="167">
        <f t="shared" ref="K125:K132" si="38">H125/H$8</f>
        <v>1.9360277506271526E-3</v>
      </c>
    </row>
    <row r="126" spans="2:14" x14ac:dyDescent="0.25">
      <c r="B126" s="165" t="s">
        <v>116</v>
      </c>
      <c r="C126" s="166">
        <v>9776</v>
      </c>
      <c r="D126" s="166">
        <v>4231</v>
      </c>
      <c r="E126" s="166">
        <v>7333</v>
      </c>
      <c r="F126" s="166">
        <v>11457</v>
      </c>
      <c r="G126" s="166">
        <v>13520</v>
      </c>
      <c r="H126" s="166">
        <v>13379</v>
      </c>
      <c r="I126" s="167">
        <f t="shared" si="37"/>
        <v>-1.0428994082840259E-2</v>
      </c>
      <c r="J126" s="166">
        <f t="shared" si="36"/>
        <v>-141</v>
      </c>
      <c r="K126" s="167">
        <f t="shared" si="38"/>
        <v>2.3976779853411715E-3</v>
      </c>
    </row>
    <row r="127" spans="2:14" x14ac:dyDescent="0.25">
      <c r="B127" s="165" t="s">
        <v>119</v>
      </c>
      <c r="C127" s="166">
        <v>6791</v>
      </c>
      <c r="D127" s="166">
        <v>2945</v>
      </c>
      <c r="E127" s="166">
        <v>7160</v>
      </c>
      <c r="F127" s="166">
        <v>8604</v>
      </c>
      <c r="G127" s="166">
        <v>8885</v>
      </c>
      <c r="H127" s="166">
        <v>8688</v>
      </c>
      <c r="I127" s="167">
        <f t="shared" si="37"/>
        <v>-2.2172200337647774E-2</v>
      </c>
      <c r="J127" s="166">
        <f t="shared" si="36"/>
        <v>-197</v>
      </c>
      <c r="K127" s="167">
        <f t="shared" si="38"/>
        <v>1.5569942698739887E-3</v>
      </c>
    </row>
    <row r="128" spans="2:14" x14ac:dyDescent="0.25">
      <c r="B128" s="165" t="s">
        <v>126</v>
      </c>
      <c r="C128" s="166">
        <v>1882</v>
      </c>
      <c r="D128" s="166">
        <v>802</v>
      </c>
      <c r="E128" s="166">
        <v>1336</v>
      </c>
      <c r="F128" s="166">
        <v>2604</v>
      </c>
      <c r="G128" s="166">
        <v>2670</v>
      </c>
      <c r="H128" s="166">
        <v>2392</v>
      </c>
      <c r="I128" s="167">
        <f t="shared" si="37"/>
        <v>-0.10411985018726588</v>
      </c>
      <c r="J128" s="166">
        <f t="shared" si="36"/>
        <v>-278</v>
      </c>
      <c r="K128" s="167">
        <f t="shared" si="38"/>
        <v>4.2867521794873176E-4</v>
      </c>
    </row>
    <row r="129" spans="2:14" x14ac:dyDescent="0.25">
      <c r="B129" s="165" t="s">
        <v>122</v>
      </c>
      <c r="C129" s="166">
        <v>1497</v>
      </c>
      <c r="D129" s="166">
        <v>819</v>
      </c>
      <c r="E129" s="166">
        <v>1362</v>
      </c>
      <c r="F129" s="166">
        <v>1856</v>
      </c>
      <c r="G129" s="166">
        <v>1953</v>
      </c>
      <c r="H129" s="166">
        <v>2120</v>
      </c>
      <c r="I129" s="167">
        <f t="shared" si="37"/>
        <v>8.5509472606246861E-2</v>
      </c>
      <c r="J129" s="166">
        <f t="shared" si="36"/>
        <v>167</v>
      </c>
      <c r="K129" s="167">
        <f t="shared" si="38"/>
        <v>3.7992954099135088E-4</v>
      </c>
    </row>
    <row r="130" spans="2:14" x14ac:dyDescent="0.25">
      <c r="B130" s="165" t="s">
        <v>131</v>
      </c>
      <c r="C130" s="166">
        <v>1645</v>
      </c>
      <c r="D130" s="166">
        <v>701</v>
      </c>
      <c r="E130" s="166">
        <v>555</v>
      </c>
      <c r="F130" s="166">
        <v>1101</v>
      </c>
      <c r="G130" s="166">
        <v>1357</v>
      </c>
      <c r="H130" s="166">
        <v>1362</v>
      </c>
      <c r="I130" s="167">
        <f t="shared" si="37"/>
        <v>3.6845983787767711E-3</v>
      </c>
      <c r="J130" s="166">
        <f t="shared" si="36"/>
        <v>5</v>
      </c>
      <c r="K130" s="167">
        <f t="shared" si="38"/>
        <v>2.4408680888217919E-4</v>
      </c>
    </row>
    <row r="131" spans="2:14" x14ac:dyDescent="0.25">
      <c r="B131" s="165" t="s">
        <v>134</v>
      </c>
      <c r="C131" s="166">
        <v>2700</v>
      </c>
      <c r="D131" s="166">
        <v>1126</v>
      </c>
      <c r="E131" s="166">
        <v>923</v>
      </c>
      <c r="F131" s="166">
        <v>1906</v>
      </c>
      <c r="G131" s="166">
        <v>2487</v>
      </c>
      <c r="H131" s="166">
        <v>2538</v>
      </c>
      <c r="I131" s="167">
        <f t="shared" si="37"/>
        <v>2.0506634499396936E-2</v>
      </c>
      <c r="J131" s="166">
        <f t="shared" si="36"/>
        <v>51</v>
      </c>
      <c r="K131" s="167">
        <f t="shared" si="38"/>
        <v>4.5484017690379644E-4</v>
      </c>
    </row>
    <row r="132" spans="2:14" x14ac:dyDescent="0.25">
      <c r="B132" s="170" t="s">
        <v>148</v>
      </c>
      <c r="C132" s="171">
        <f t="shared" ref="C132:H132" si="39">C124-SUM(C125:C131)</f>
        <v>66430</v>
      </c>
      <c r="D132" s="171">
        <f t="shared" si="39"/>
        <v>28245</v>
      </c>
      <c r="E132" s="171">
        <f t="shared" si="39"/>
        <v>37795</v>
      </c>
      <c r="F132" s="171">
        <f t="shared" si="39"/>
        <v>57597</v>
      </c>
      <c r="G132" s="171">
        <f t="shared" si="39"/>
        <v>51226</v>
      </c>
      <c r="H132" s="171">
        <f t="shared" si="39"/>
        <v>54324</v>
      </c>
      <c r="I132" s="172">
        <f t="shared" si="37"/>
        <v>6.0477101471908767E-2</v>
      </c>
      <c r="J132" s="171">
        <f>H132-G132</f>
        <v>3098</v>
      </c>
      <c r="K132" s="172">
        <f t="shared" si="38"/>
        <v>9.735515275855729E-3</v>
      </c>
    </row>
    <row r="133" spans="2:14" x14ac:dyDescent="0.25">
      <c r="B133" s="157" t="s">
        <v>55</v>
      </c>
      <c r="C133" s="155"/>
      <c r="D133" s="155"/>
      <c r="E133" s="155"/>
      <c r="F133" s="155"/>
      <c r="G133" s="155"/>
      <c r="H133" s="156"/>
      <c r="I133" s="156"/>
      <c r="J133" s="156"/>
      <c r="K133" s="155"/>
      <c r="L133" s="173"/>
      <c r="M133" s="173"/>
      <c r="N133" s="173"/>
    </row>
    <row r="134" spans="2:14" x14ac:dyDescent="0.25">
      <c r="B134" s="158" t="s">
        <v>71</v>
      </c>
      <c r="C134" s="159">
        <v>254169</v>
      </c>
      <c r="D134" s="159">
        <v>100783</v>
      </c>
      <c r="E134" s="159">
        <v>141329</v>
      </c>
      <c r="F134" s="159">
        <v>261644</v>
      </c>
      <c r="G134" s="159">
        <v>285810</v>
      </c>
      <c r="H134" s="159">
        <v>293795</v>
      </c>
      <c r="I134" s="160">
        <f>IFERROR(H134/G134-1,"-")</f>
        <v>2.7938140722857829E-2</v>
      </c>
      <c r="J134" s="159">
        <f>H134-G134</f>
        <v>7985</v>
      </c>
      <c r="K134" s="160">
        <f>H134/H$8</f>
        <v>5.2651603535638643E-2</v>
      </c>
      <c r="L134" s="107"/>
      <c r="M134" s="107"/>
      <c r="N134" s="107"/>
    </row>
    <row r="135" spans="2:14" x14ac:dyDescent="0.25">
      <c r="B135" s="161" t="s">
        <v>100</v>
      </c>
      <c r="C135" s="162">
        <v>45781</v>
      </c>
      <c r="D135" s="162">
        <v>27001</v>
      </c>
      <c r="E135" s="162">
        <v>45389</v>
      </c>
      <c r="F135" s="162">
        <v>29396</v>
      </c>
      <c r="G135" s="162">
        <v>34007</v>
      </c>
      <c r="H135" s="162">
        <v>29467</v>
      </c>
      <c r="I135" s="163">
        <f>IFERROR(H135/G135-1,"-")</f>
        <v>-0.13350192607404354</v>
      </c>
      <c r="J135" s="162">
        <f t="shared" ref="J135:J145" si="40">H135-G135</f>
        <v>-4540</v>
      </c>
      <c r="K135" s="163">
        <f>H135/H$8</f>
        <v>5.2808414077321394E-3</v>
      </c>
    </row>
    <row r="136" spans="2:14" x14ac:dyDescent="0.25">
      <c r="B136" s="165" t="s">
        <v>106</v>
      </c>
      <c r="C136" s="166">
        <v>24957</v>
      </c>
      <c r="D136" s="166">
        <v>20110</v>
      </c>
      <c r="E136" s="166">
        <v>34297</v>
      </c>
      <c r="F136" s="166">
        <v>20018</v>
      </c>
      <c r="G136" s="166">
        <v>22544</v>
      </c>
      <c r="H136" s="166">
        <v>18421</v>
      </c>
      <c r="I136" s="167">
        <f>IFERROR(H136/G136-1,"-")</f>
        <v>-0.18288679914833217</v>
      </c>
      <c r="J136" s="166">
        <f t="shared" si="40"/>
        <v>-4123</v>
      </c>
      <c r="K136" s="167">
        <f>H136/H$8</f>
        <v>3.3012651295290917E-3</v>
      </c>
    </row>
    <row r="137" spans="2:14" x14ac:dyDescent="0.25">
      <c r="B137" s="165" t="s">
        <v>103</v>
      </c>
      <c r="C137" s="166">
        <v>20824</v>
      </c>
      <c r="D137" s="166">
        <v>6891</v>
      </c>
      <c r="E137" s="166">
        <v>11092</v>
      </c>
      <c r="F137" s="166">
        <v>9378</v>
      </c>
      <c r="G137" s="166">
        <v>11463</v>
      </c>
      <c r="H137" s="166">
        <v>11046</v>
      </c>
      <c r="I137" s="167">
        <f>IFERROR(H137/G137-1,"-")</f>
        <v>-3.6377911541481289E-2</v>
      </c>
      <c r="J137" s="166">
        <f t="shared" si="40"/>
        <v>-417</v>
      </c>
      <c r="K137" s="167">
        <f>H137/H$8</f>
        <v>1.9795762782030481E-3</v>
      </c>
    </row>
    <row r="138" spans="2:14" x14ac:dyDescent="0.25">
      <c r="B138" s="161" t="s">
        <v>110</v>
      </c>
      <c r="C138" s="162">
        <v>208388</v>
      </c>
      <c r="D138" s="162">
        <v>73782</v>
      </c>
      <c r="E138" s="162">
        <v>95940</v>
      </c>
      <c r="F138" s="162">
        <v>232248</v>
      </c>
      <c r="G138" s="162">
        <v>251803</v>
      </c>
      <c r="H138" s="162">
        <v>264328</v>
      </c>
      <c r="I138" s="163">
        <f>IFERROR(H138/G138-1,"-")</f>
        <v>4.9741265989682315E-2</v>
      </c>
      <c r="J138" s="162">
        <f t="shared" si="40"/>
        <v>12525</v>
      </c>
      <c r="K138" s="163">
        <f>H138/H$8</f>
        <v>4.7370762127906509E-2</v>
      </c>
    </row>
    <row r="139" spans="2:14" x14ac:dyDescent="0.25">
      <c r="B139" s="165" t="s">
        <v>113</v>
      </c>
      <c r="C139" s="166">
        <v>102429</v>
      </c>
      <c r="D139" s="166">
        <v>28209</v>
      </c>
      <c r="E139" s="166">
        <v>26568</v>
      </c>
      <c r="F139" s="166">
        <v>98004</v>
      </c>
      <c r="G139" s="166">
        <v>107918</v>
      </c>
      <c r="H139" s="166">
        <v>118432</v>
      </c>
      <c r="I139" s="167">
        <f t="shared" ref="I139:I146" si="41">IFERROR(H139/G139-1,"-")</f>
        <v>9.7425823310291149E-2</v>
      </c>
      <c r="J139" s="166">
        <f t="shared" si="40"/>
        <v>10514</v>
      </c>
      <c r="K139" s="167">
        <f t="shared" ref="K139:K146" si="42">H139/H$8</f>
        <v>2.1224441225796069E-2</v>
      </c>
    </row>
    <row r="140" spans="2:14" x14ac:dyDescent="0.25">
      <c r="B140" s="165" t="s">
        <v>116</v>
      </c>
      <c r="C140" s="166">
        <v>15265</v>
      </c>
      <c r="D140" s="166">
        <v>6247</v>
      </c>
      <c r="E140" s="166">
        <v>9382</v>
      </c>
      <c r="F140" s="166">
        <v>16968</v>
      </c>
      <c r="G140" s="166">
        <v>21306</v>
      </c>
      <c r="H140" s="166">
        <v>21957</v>
      </c>
      <c r="I140" s="167">
        <f t="shared" si="41"/>
        <v>3.0554773303294924E-2</v>
      </c>
      <c r="J140" s="166">
        <f t="shared" si="40"/>
        <v>651</v>
      </c>
      <c r="K140" s="167">
        <f t="shared" si="42"/>
        <v>3.9349589299750428E-3</v>
      </c>
    </row>
    <row r="141" spans="2:14" x14ac:dyDescent="0.25">
      <c r="B141" s="165" t="s">
        <v>119</v>
      </c>
      <c r="C141" s="166">
        <v>19891</v>
      </c>
      <c r="D141" s="166">
        <v>6768</v>
      </c>
      <c r="E141" s="166">
        <v>15420</v>
      </c>
      <c r="F141" s="166">
        <v>27251</v>
      </c>
      <c r="G141" s="166">
        <v>25353</v>
      </c>
      <c r="H141" s="166">
        <v>25136</v>
      </c>
      <c r="I141" s="167">
        <f t="shared" si="41"/>
        <v>-8.5591448743738141E-3</v>
      </c>
      <c r="J141" s="166">
        <f t="shared" si="40"/>
        <v>-217</v>
      </c>
      <c r="K141" s="167">
        <f t="shared" si="42"/>
        <v>4.504674029414432E-3</v>
      </c>
    </row>
    <row r="142" spans="2:14" x14ac:dyDescent="0.25">
      <c r="B142" s="165" t="s">
        <v>126</v>
      </c>
      <c r="C142" s="166">
        <v>4038</v>
      </c>
      <c r="D142" s="166">
        <v>1301</v>
      </c>
      <c r="E142" s="166">
        <v>4392</v>
      </c>
      <c r="F142" s="166">
        <v>10160</v>
      </c>
      <c r="G142" s="166">
        <v>9134</v>
      </c>
      <c r="H142" s="166">
        <v>6705</v>
      </c>
      <c r="I142" s="167">
        <f t="shared" si="41"/>
        <v>-0.26592949419750378</v>
      </c>
      <c r="J142" s="166">
        <f t="shared" si="40"/>
        <v>-2429</v>
      </c>
      <c r="K142" s="167">
        <f t="shared" si="42"/>
        <v>1.2016167794089659E-3</v>
      </c>
    </row>
    <row r="143" spans="2:14" x14ac:dyDescent="0.25">
      <c r="B143" s="165" t="s">
        <v>122</v>
      </c>
      <c r="C143" s="166">
        <v>4324</v>
      </c>
      <c r="D143" s="166">
        <v>2025</v>
      </c>
      <c r="E143" s="166">
        <v>3357</v>
      </c>
      <c r="F143" s="166">
        <v>4807</v>
      </c>
      <c r="G143" s="166">
        <v>5613</v>
      </c>
      <c r="H143" s="166">
        <v>5718</v>
      </c>
      <c r="I143" s="167">
        <f t="shared" si="41"/>
        <v>1.8706574024585754E-2</v>
      </c>
      <c r="J143" s="166">
        <f t="shared" si="40"/>
        <v>105</v>
      </c>
      <c r="K143" s="167">
        <f t="shared" si="42"/>
        <v>1.0247344883908228E-3</v>
      </c>
    </row>
    <row r="144" spans="2:14" x14ac:dyDescent="0.25">
      <c r="B144" s="165" t="s">
        <v>131</v>
      </c>
      <c r="C144" s="166">
        <v>2493</v>
      </c>
      <c r="D144" s="166">
        <v>2067</v>
      </c>
      <c r="E144" s="166">
        <v>1422</v>
      </c>
      <c r="F144" s="166">
        <v>3540</v>
      </c>
      <c r="G144" s="166">
        <v>3748</v>
      </c>
      <c r="H144" s="166">
        <v>3476</v>
      </c>
      <c r="I144" s="167">
        <f t="shared" si="41"/>
        <v>-7.2572038420490981E-2</v>
      </c>
      <c r="J144" s="166">
        <f t="shared" si="40"/>
        <v>-272</v>
      </c>
      <c r="K144" s="167">
        <f t="shared" si="42"/>
        <v>6.2294107758770548E-4</v>
      </c>
    </row>
    <row r="145" spans="2:14" x14ac:dyDescent="0.25">
      <c r="B145" s="165" t="s">
        <v>134</v>
      </c>
      <c r="C145" s="166">
        <v>6557</v>
      </c>
      <c r="D145" s="166">
        <v>4279</v>
      </c>
      <c r="E145" s="166">
        <v>959</v>
      </c>
      <c r="F145" s="166">
        <v>2132</v>
      </c>
      <c r="G145" s="166">
        <v>2973</v>
      </c>
      <c r="H145" s="166">
        <v>2916</v>
      </c>
      <c r="I145" s="167">
        <f t="shared" si="41"/>
        <v>-1.9172552976791102E-2</v>
      </c>
      <c r="J145" s="166">
        <f t="shared" si="40"/>
        <v>-57</v>
      </c>
      <c r="K145" s="167">
        <f t="shared" si="42"/>
        <v>5.2258233091074483E-4</v>
      </c>
    </row>
    <row r="146" spans="2:14" x14ac:dyDescent="0.25">
      <c r="B146" s="170" t="s">
        <v>148</v>
      </c>
      <c r="C146" s="171">
        <f t="shared" ref="C146:H146" si="43">C138-SUM(C139:C145)</f>
        <v>53391</v>
      </c>
      <c r="D146" s="171">
        <f t="shared" si="43"/>
        <v>22886</v>
      </c>
      <c r="E146" s="171">
        <f t="shared" si="43"/>
        <v>34440</v>
      </c>
      <c r="F146" s="171">
        <f t="shared" si="43"/>
        <v>69386</v>
      </c>
      <c r="G146" s="171">
        <f t="shared" si="43"/>
        <v>75758</v>
      </c>
      <c r="H146" s="171">
        <f t="shared" si="43"/>
        <v>79988</v>
      </c>
      <c r="I146" s="172">
        <f t="shared" si="41"/>
        <v>5.5835687320151095E-2</v>
      </c>
      <c r="J146" s="171">
        <f>H146-G146</f>
        <v>4230</v>
      </c>
      <c r="K146" s="172">
        <f t="shared" si="42"/>
        <v>1.4334813266422722E-2</v>
      </c>
    </row>
    <row r="147" spans="2:14" x14ac:dyDescent="0.25">
      <c r="B147" s="157" t="s">
        <v>56</v>
      </c>
      <c r="C147" s="155"/>
      <c r="D147" s="155"/>
      <c r="E147" s="155"/>
      <c r="F147" s="155"/>
      <c r="G147" s="155"/>
      <c r="H147" s="156"/>
      <c r="I147" s="156"/>
      <c r="J147" s="156"/>
      <c r="K147" s="155"/>
      <c r="L147" s="173"/>
      <c r="M147" s="173"/>
      <c r="N147" s="173"/>
    </row>
    <row r="148" spans="2:14" x14ac:dyDescent="0.25">
      <c r="B148" s="158" t="s">
        <v>71</v>
      </c>
      <c r="C148" s="159">
        <v>127971</v>
      </c>
      <c r="D148" s="159">
        <v>45270</v>
      </c>
      <c r="E148" s="159">
        <v>72233</v>
      </c>
      <c r="F148" s="159">
        <v>113045</v>
      </c>
      <c r="G148" s="159">
        <v>125576</v>
      </c>
      <c r="H148" s="159">
        <v>130392</v>
      </c>
      <c r="I148" s="160">
        <f>IFERROR(H148/G148-1,"-")</f>
        <v>3.8351277314136567E-2</v>
      </c>
      <c r="J148" s="159">
        <f>H148-G148</f>
        <v>4816</v>
      </c>
      <c r="K148" s="160">
        <f>H148/H$8</f>
        <v>2.3367817315539729E-2</v>
      </c>
      <c r="L148" s="107"/>
      <c r="M148" s="107"/>
      <c r="N148" s="107"/>
    </row>
    <row r="149" spans="2:14" x14ac:dyDescent="0.25">
      <c r="B149" s="161" t="s">
        <v>100</v>
      </c>
      <c r="C149" s="162">
        <v>54730</v>
      </c>
      <c r="D149" s="162">
        <v>22551</v>
      </c>
      <c r="E149" s="162">
        <v>40440</v>
      </c>
      <c r="F149" s="162">
        <v>58168</v>
      </c>
      <c r="G149" s="162">
        <v>60525</v>
      </c>
      <c r="H149" s="162">
        <v>56624</v>
      </c>
      <c r="I149" s="163">
        <f>IFERROR(H149/G149-1,"-")</f>
        <v>-6.4452705493597717E-2</v>
      </c>
      <c r="J149" s="162">
        <f t="shared" ref="J149:J159" si="44">H149-G149</f>
        <v>-3901</v>
      </c>
      <c r="K149" s="163">
        <f>H149/H$8</f>
        <v>1.0147702985421817E-2</v>
      </c>
    </row>
    <row r="150" spans="2:14" x14ac:dyDescent="0.25">
      <c r="B150" s="165" t="s">
        <v>106</v>
      </c>
      <c r="C150" s="166">
        <v>33154</v>
      </c>
      <c r="D150" s="166">
        <v>14649</v>
      </c>
      <c r="E150" s="166">
        <v>32395</v>
      </c>
      <c r="F150" s="166">
        <v>41872</v>
      </c>
      <c r="G150" s="166">
        <v>44830</v>
      </c>
      <c r="H150" s="166">
        <v>38407</v>
      </c>
      <c r="I150" s="167">
        <f>IFERROR(H150/G150-1,"-")</f>
        <v>-0.14327459290653577</v>
      </c>
      <c r="J150" s="166">
        <f t="shared" si="44"/>
        <v>-6423</v>
      </c>
      <c r="K150" s="167">
        <f>H150/H$8</f>
        <v>6.8829971136107606E-3</v>
      </c>
    </row>
    <row r="151" spans="2:14" x14ac:dyDescent="0.25">
      <c r="B151" s="165" t="s">
        <v>103</v>
      </c>
      <c r="C151" s="166">
        <v>21576</v>
      </c>
      <c r="D151" s="166">
        <v>7902</v>
      </c>
      <c r="E151" s="166">
        <v>8045</v>
      </c>
      <c r="F151" s="166">
        <v>16296</v>
      </c>
      <c r="G151" s="166">
        <v>15695</v>
      </c>
      <c r="H151" s="166">
        <v>18217</v>
      </c>
      <c r="I151" s="167">
        <f>IFERROR(H151/G151-1,"-")</f>
        <v>0.16068811723478804</v>
      </c>
      <c r="J151" s="166">
        <f t="shared" si="44"/>
        <v>2522</v>
      </c>
      <c r="K151" s="167">
        <f>H151/H$8</f>
        <v>3.2647058718110562E-3</v>
      </c>
    </row>
    <row r="152" spans="2:14" x14ac:dyDescent="0.25">
      <c r="B152" s="161" t="s">
        <v>110</v>
      </c>
      <c r="C152" s="162">
        <v>73241</v>
      </c>
      <c r="D152" s="162">
        <v>22719</v>
      </c>
      <c r="E152" s="162">
        <v>31793</v>
      </c>
      <c r="F152" s="162">
        <v>54877</v>
      </c>
      <c r="G152" s="162">
        <v>65051</v>
      </c>
      <c r="H152" s="162">
        <v>73768</v>
      </c>
      <c r="I152" s="163">
        <f>IFERROR(H152/G152-1,"-")</f>
        <v>0.13400255184393783</v>
      </c>
      <c r="J152" s="162">
        <f t="shared" si="44"/>
        <v>8717</v>
      </c>
      <c r="K152" s="163">
        <f>H152/H$8</f>
        <v>1.322011433011791E-2</v>
      </c>
    </row>
    <row r="153" spans="2:14" x14ac:dyDescent="0.25">
      <c r="B153" s="165" t="s">
        <v>113</v>
      </c>
      <c r="C153" s="166">
        <v>22096</v>
      </c>
      <c r="D153" s="166">
        <v>6059</v>
      </c>
      <c r="E153" s="166">
        <v>5619</v>
      </c>
      <c r="F153" s="166">
        <v>19494</v>
      </c>
      <c r="G153" s="166">
        <v>19538</v>
      </c>
      <c r="H153" s="166">
        <v>20487</v>
      </c>
      <c r="I153" s="167">
        <f t="shared" ref="I153:I160" si="45">IFERROR(H153/G153-1,"-")</f>
        <v>4.8572013512130141E-2</v>
      </c>
      <c r="J153" s="166">
        <f t="shared" si="44"/>
        <v>949</v>
      </c>
      <c r="K153" s="167">
        <f t="shared" ref="K153:K160" si="46">H153/H$8</f>
        <v>3.6715172199480212E-3</v>
      </c>
    </row>
    <row r="154" spans="2:14" x14ac:dyDescent="0.25">
      <c r="B154" s="165" t="s">
        <v>116</v>
      </c>
      <c r="C154" s="166">
        <v>18903</v>
      </c>
      <c r="D154" s="166">
        <v>5582</v>
      </c>
      <c r="E154" s="166">
        <v>8701</v>
      </c>
      <c r="F154" s="166">
        <v>11833</v>
      </c>
      <c r="G154" s="166">
        <v>13027</v>
      </c>
      <c r="H154" s="166">
        <v>13361</v>
      </c>
      <c r="I154" s="167">
        <f t="shared" si="45"/>
        <v>2.5639057342442539E-2</v>
      </c>
      <c r="J154" s="166">
        <f t="shared" si="44"/>
        <v>334</v>
      </c>
      <c r="K154" s="167">
        <f t="shared" si="46"/>
        <v>2.3944521684836975E-3</v>
      </c>
    </row>
    <row r="155" spans="2:14" x14ac:dyDescent="0.25">
      <c r="B155" s="165" t="s">
        <v>119</v>
      </c>
      <c r="C155" s="166">
        <v>10122</v>
      </c>
      <c r="D155" s="166">
        <v>2455</v>
      </c>
      <c r="E155" s="166">
        <v>5271</v>
      </c>
      <c r="F155" s="166">
        <v>6658</v>
      </c>
      <c r="G155" s="166">
        <v>10341</v>
      </c>
      <c r="H155" s="166">
        <v>13087</v>
      </c>
      <c r="I155" s="167">
        <f t="shared" si="45"/>
        <v>0.26554491828643267</v>
      </c>
      <c r="J155" s="166">
        <f t="shared" si="44"/>
        <v>2746</v>
      </c>
      <c r="K155" s="167">
        <f t="shared" si="46"/>
        <v>2.3453480674310418E-3</v>
      </c>
    </row>
    <row r="156" spans="2:14" x14ac:dyDescent="0.25">
      <c r="B156" s="165" t="s">
        <v>126</v>
      </c>
      <c r="C156" s="166">
        <v>1693</v>
      </c>
      <c r="D156" s="166">
        <v>627</v>
      </c>
      <c r="E156" s="166">
        <v>932</v>
      </c>
      <c r="F156" s="166">
        <v>1711</v>
      </c>
      <c r="G156" s="166">
        <v>2082</v>
      </c>
      <c r="H156" s="166">
        <v>2870</v>
      </c>
      <c r="I156" s="167">
        <f t="shared" si="45"/>
        <v>0.37848222862632075</v>
      </c>
      <c r="J156" s="166">
        <f t="shared" si="44"/>
        <v>788</v>
      </c>
      <c r="K156" s="167">
        <f t="shared" si="46"/>
        <v>5.1433857671942312E-4</v>
      </c>
    </row>
    <row r="157" spans="2:14" x14ac:dyDescent="0.25">
      <c r="B157" s="165" t="s">
        <v>122</v>
      </c>
      <c r="C157" s="166">
        <v>3086</v>
      </c>
      <c r="D157" s="166">
        <v>1606</v>
      </c>
      <c r="E157" s="166">
        <v>1752</v>
      </c>
      <c r="F157" s="166">
        <v>3040</v>
      </c>
      <c r="G157" s="166">
        <v>3110</v>
      </c>
      <c r="H157" s="166">
        <v>3538</v>
      </c>
      <c r="I157" s="167">
        <f t="shared" si="45"/>
        <v>0.13762057877813505</v>
      </c>
      <c r="J157" s="166">
        <f t="shared" si="44"/>
        <v>428</v>
      </c>
      <c r="K157" s="167">
        <f t="shared" si="46"/>
        <v>6.3405222454122607E-4</v>
      </c>
    </row>
    <row r="158" spans="2:14" x14ac:dyDescent="0.25">
      <c r="B158" s="165" t="s">
        <v>131</v>
      </c>
      <c r="C158" s="166">
        <v>490</v>
      </c>
      <c r="D158" s="166">
        <v>405</v>
      </c>
      <c r="E158" s="166">
        <v>292</v>
      </c>
      <c r="F158" s="166">
        <v>514</v>
      </c>
      <c r="G158" s="166">
        <v>689</v>
      </c>
      <c r="H158" s="166">
        <v>505</v>
      </c>
      <c r="I158" s="167">
        <f t="shared" si="45"/>
        <v>-0.26705370101596515</v>
      </c>
      <c r="J158" s="166">
        <f t="shared" si="44"/>
        <v>-184</v>
      </c>
      <c r="K158" s="167">
        <f t="shared" si="46"/>
        <v>9.0502084056901978E-5</v>
      </c>
    </row>
    <row r="159" spans="2:14" x14ac:dyDescent="0.25">
      <c r="B159" s="165" t="s">
        <v>134</v>
      </c>
      <c r="C159" s="166">
        <v>1111</v>
      </c>
      <c r="D159" s="166">
        <v>504</v>
      </c>
      <c r="E159" s="166">
        <v>454</v>
      </c>
      <c r="F159" s="166">
        <v>710</v>
      </c>
      <c r="G159" s="166">
        <v>954</v>
      </c>
      <c r="H159" s="166">
        <v>832</v>
      </c>
      <c r="I159" s="167">
        <f t="shared" si="45"/>
        <v>-0.1278825995807128</v>
      </c>
      <c r="J159" s="166">
        <f t="shared" si="44"/>
        <v>-122</v>
      </c>
      <c r="K159" s="167">
        <f t="shared" si="46"/>
        <v>1.4910442363434147E-4</v>
      </c>
    </row>
    <row r="160" spans="2:14" x14ac:dyDescent="0.25">
      <c r="B160" s="170" t="s">
        <v>148</v>
      </c>
      <c r="C160" s="171">
        <f t="shared" ref="C160:H160" si="47">C152-SUM(C153:C159)</f>
        <v>15740</v>
      </c>
      <c r="D160" s="171">
        <f t="shared" si="47"/>
        <v>5481</v>
      </c>
      <c r="E160" s="171">
        <f t="shared" si="47"/>
        <v>8772</v>
      </c>
      <c r="F160" s="171">
        <f t="shared" si="47"/>
        <v>10917</v>
      </c>
      <c r="G160" s="171">
        <f t="shared" si="47"/>
        <v>15310</v>
      </c>
      <c r="H160" s="171">
        <f t="shared" si="47"/>
        <v>19088</v>
      </c>
      <c r="I160" s="172">
        <f t="shared" si="45"/>
        <v>0.24676681907250164</v>
      </c>
      <c r="J160" s="171">
        <f>H160-G160</f>
        <v>3778</v>
      </c>
      <c r="K160" s="172">
        <f t="shared" si="46"/>
        <v>3.4207995653032573E-3</v>
      </c>
    </row>
    <row r="161" spans="2:1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</row>
    <row r="162" spans="2:11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</row>
  </sheetData>
  <mergeCells count="3">
    <mergeCell ref="B3:K3"/>
    <mergeCell ref="C5:K5"/>
    <mergeCell ref="O5:W5"/>
  </mergeCells>
  <pageMargins left="0.25" right="0.25" top="0.75" bottom="0.75" header="0.3" footer="0.3"/>
  <pageSetup paperSize="9" scale="2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E0745-0463-4F04-98A3-2DB6311E5889}">
  <sheetPr>
    <tabColor rgb="FFFFC000"/>
  </sheetPr>
  <dimension ref="A4:E116"/>
  <sheetViews>
    <sheetView showGridLines="0" zoomScaleNormal="100" workbookViewId="0">
      <selection activeCell="H9" sqref="H9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277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135</v>
      </c>
      <c r="D6" s="306"/>
    </row>
    <row r="7" spans="1:5" ht="16.5" thickTop="1" thickBot="1" x14ac:dyDescent="0.3">
      <c r="B7" s="87"/>
      <c r="C7" s="116" t="s">
        <v>150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1414199</v>
      </c>
      <c r="D8" s="121">
        <f t="shared" ref="D8:D10" si="0">C8/C9-1</f>
        <v>5.0294917555281149E-2</v>
      </c>
    </row>
    <row r="9" spans="1:5" x14ac:dyDescent="0.25">
      <c r="A9" s="1"/>
      <c r="B9" s="119">
        <v>2023</v>
      </c>
      <c r="C9" s="120">
        <v>1346478</v>
      </c>
      <c r="D9" s="121">
        <f t="shared" si="0"/>
        <v>6.4289175215766159E-2</v>
      </c>
    </row>
    <row r="10" spans="1:5" x14ac:dyDescent="0.25">
      <c r="A10" s="1"/>
      <c r="B10" s="119">
        <v>2022</v>
      </c>
      <c r="C10" s="120">
        <v>1265143</v>
      </c>
      <c r="D10" s="121">
        <f t="shared" si="0"/>
        <v>1.5568413543058202</v>
      </c>
      <c r="E10" s="81">
        <f>C8/C17-1</f>
        <v>0.11142992768077065</v>
      </c>
    </row>
    <row r="11" spans="1:5" x14ac:dyDescent="0.25">
      <c r="A11" s="1"/>
      <c r="B11" s="119">
        <v>2021</v>
      </c>
      <c r="C11" s="120">
        <v>494807</v>
      </c>
      <c r="D11" s="121">
        <f>C11/C12-1</f>
        <v>0.22229495724004367</v>
      </c>
    </row>
    <row r="12" spans="1:5" x14ac:dyDescent="0.25">
      <c r="A12" s="1" t="s">
        <v>75</v>
      </c>
      <c r="B12" s="119">
        <v>2020</v>
      </c>
      <c r="C12" s="120">
        <v>404818</v>
      </c>
      <c r="D12" s="121">
        <f t="shared" ref="D12:D21" si="1">C12/C13-1</f>
        <v>-0.69506085329448442</v>
      </c>
    </row>
    <row r="13" spans="1:5" x14ac:dyDescent="0.25">
      <c r="A13" s="1" t="s">
        <v>77</v>
      </c>
      <c r="B13" s="119">
        <v>2019</v>
      </c>
      <c r="C13" s="120">
        <v>1327537</v>
      </c>
      <c r="D13" s="121">
        <f t="shared" si="1"/>
        <v>-1.7554752682315322E-2</v>
      </c>
    </row>
    <row r="14" spans="1:5" x14ac:dyDescent="0.25">
      <c r="A14" s="1" t="s">
        <v>79</v>
      </c>
      <c r="B14" s="119">
        <v>2018</v>
      </c>
      <c r="C14" s="120">
        <v>1351258</v>
      </c>
      <c r="D14" s="121">
        <f t="shared" si="1"/>
        <v>-2.7632698117090682E-2</v>
      </c>
    </row>
    <row r="15" spans="1:5" x14ac:dyDescent="0.25">
      <c r="A15" s="1" t="s">
        <v>81</v>
      </c>
      <c r="B15" s="119">
        <v>2017</v>
      </c>
      <c r="C15" s="120">
        <v>1389658</v>
      </c>
      <c r="D15" s="121">
        <f>C15/C16-1</f>
        <v>9.2056395798927326E-3</v>
      </c>
    </row>
    <row r="16" spans="1:5" x14ac:dyDescent="0.25">
      <c r="A16" s="1" t="s">
        <v>83</v>
      </c>
      <c r="B16" s="119">
        <v>2016</v>
      </c>
      <c r="C16" s="120">
        <v>1376982</v>
      </c>
      <c r="D16" s="121">
        <f>C16/C17-1</f>
        <v>8.2180799645398483E-2</v>
      </c>
    </row>
    <row r="17" spans="1:5" x14ac:dyDescent="0.25">
      <c r="A17" s="1" t="s">
        <v>85</v>
      </c>
      <c r="B17" s="119">
        <v>2015</v>
      </c>
      <c r="C17" s="120">
        <v>1272414</v>
      </c>
      <c r="D17" s="121">
        <f t="shared" si="1"/>
        <v>2.8046353683159442E-2</v>
      </c>
    </row>
    <row r="18" spans="1:5" x14ac:dyDescent="0.25">
      <c r="A18" s="1" t="s">
        <v>87</v>
      </c>
      <c r="B18" s="119">
        <v>2014</v>
      </c>
      <c r="C18" s="120">
        <v>1237701</v>
      </c>
      <c r="D18" s="121">
        <f t="shared" si="1"/>
        <v>2.5186077293517517E-2</v>
      </c>
    </row>
    <row r="19" spans="1:5" x14ac:dyDescent="0.25">
      <c r="A19" s="1" t="s">
        <v>89</v>
      </c>
      <c r="B19" s="119">
        <v>2013</v>
      </c>
      <c r="C19" s="120">
        <v>1207294</v>
      </c>
      <c r="D19" s="121">
        <f t="shared" si="1"/>
        <v>3.4050254424049298E-2</v>
      </c>
    </row>
    <row r="20" spans="1:5" x14ac:dyDescent="0.25">
      <c r="A20" s="1" t="s">
        <v>91</v>
      </c>
      <c r="B20" s="119">
        <v>2012</v>
      </c>
      <c r="C20" s="120">
        <v>1167539</v>
      </c>
      <c r="D20" s="121">
        <f>C20/C21-1</f>
        <v>2.1406898445983646E-3</v>
      </c>
    </row>
    <row r="21" spans="1:5" x14ac:dyDescent="0.25">
      <c r="A21" s="1" t="s">
        <v>93</v>
      </c>
      <c r="B21" s="119">
        <v>2011</v>
      </c>
      <c r="C21" s="120">
        <v>1165045</v>
      </c>
      <c r="D21" s="121">
        <f t="shared" si="1"/>
        <v>0.10779630267058926</v>
      </c>
    </row>
    <row r="22" spans="1:5" x14ac:dyDescent="0.25">
      <c r="A22" s="1" t="s">
        <v>95</v>
      </c>
      <c r="B22" s="119">
        <v>2010</v>
      </c>
      <c r="C22" s="120">
        <v>1051678</v>
      </c>
      <c r="D22" s="121"/>
    </row>
    <row r="23" spans="1:5" ht="6" customHeight="1" x14ac:dyDescent="0.25"/>
    <row r="24" spans="1:5" x14ac:dyDescent="0.25">
      <c r="B24" s="107" t="s">
        <v>58</v>
      </c>
      <c r="C24" s="107"/>
      <c r="D24" s="107"/>
    </row>
    <row r="25" spans="1:5" x14ac:dyDescent="0.25">
      <c r="B25" t="s">
        <v>12</v>
      </c>
    </row>
    <row r="27" spans="1:5" ht="48.75" customHeight="1" thickBot="1" x14ac:dyDescent="0.3">
      <c r="B27" s="283" t="s">
        <v>278</v>
      </c>
      <c r="C27" s="283"/>
      <c r="D27" s="283"/>
      <c r="E27" s="1" t="s">
        <v>97</v>
      </c>
    </row>
    <row r="28" spans="1:5" ht="10.5" customHeight="1" thickBot="1" x14ac:dyDescent="0.3">
      <c r="B28" s="108"/>
      <c r="C28" s="109"/>
      <c r="D28" s="108"/>
      <c r="E28" s="1" t="s">
        <v>98</v>
      </c>
    </row>
    <row r="29" spans="1:5" ht="22.5" thickTop="1" thickBot="1" x14ac:dyDescent="0.3">
      <c r="B29" s="126" t="s">
        <v>99</v>
      </c>
      <c r="C29" s="305" t="s">
        <v>140</v>
      </c>
      <c r="D29" s="306"/>
    </row>
    <row r="30" spans="1:5" ht="16.5" thickTop="1" thickBot="1" x14ac:dyDescent="0.3">
      <c r="B30" s="87"/>
      <c r="C30" s="116" t="s">
        <v>150</v>
      </c>
      <c r="D30" s="117" t="s">
        <v>142</v>
      </c>
    </row>
    <row r="31" spans="1:5" x14ac:dyDescent="0.25">
      <c r="B31" s="119">
        <v>2024</v>
      </c>
      <c r="C31" s="120">
        <v>875761</v>
      </c>
      <c r="D31" s="121">
        <f t="shared" ref="D31:D44" si="2">C31/C32-1</f>
        <v>5.9021492152516508E-2</v>
      </c>
    </row>
    <row r="32" spans="1:5" x14ac:dyDescent="0.25">
      <c r="B32" s="119">
        <v>2023</v>
      </c>
      <c r="C32" s="120">
        <v>826953</v>
      </c>
      <c r="D32" s="121">
        <f t="shared" si="2"/>
        <v>8.2298634550977523E-2</v>
      </c>
    </row>
    <row r="33" spans="2:4" x14ac:dyDescent="0.25">
      <c r="B33" s="119">
        <v>2022</v>
      </c>
      <c r="C33" s="120">
        <v>764071</v>
      </c>
      <c r="D33" s="121">
        <f t="shared" si="2"/>
        <v>1.9683034847131036</v>
      </c>
    </row>
    <row r="34" spans="2:4" x14ac:dyDescent="0.25">
      <c r="B34" s="119">
        <v>2021</v>
      </c>
      <c r="C34" s="120">
        <v>257410</v>
      </c>
      <c r="D34" s="121">
        <f t="shared" si="2"/>
        <v>0.15992249459264607</v>
      </c>
    </row>
    <row r="35" spans="2:4" x14ac:dyDescent="0.25">
      <c r="B35" s="119">
        <v>2020</v>
      </c>
      <c r="C35" s="120">
        <v>221920</v>
      </c>
      <c r="D35" s="121">
        <f t="shared" si="2"/>
        <v>-0.7018714979103331</v>
      </c>
    </row>
    <row r="36" spans="2:4" x14ac:dyDescent="0.25">
      <c r="B36" s="119">
        <v>2019</v>
      </c>
      <c r="C36" s="120">
        <v>744377</v>
      </c>
      <c r="D36" s="121">
        <f t="shared" si="2"/>
        <v>3.0020119499309494E-2</v>
      </c>
    </row>
    <row r="37" spans="2:4" x14ac:dyDescent="0.25">
      <c r="B37" s="119">
        <v>2018</v>
      </c>
      <c r="C37" s="120">
        <v>722682</v>
      </c>
      <c r="D37" s="121">
        <f t="shared" si="2"/>
        <v>-1.8828321227343681E-2</v>
      </c>
    </row>
    <row r="38" spans="2:4" x14ac:dyDescent="0.25">
      <c r="B38" s="119">
        <v>2017</v>
      </c>
      <c r="C38" s="120">
        <v>736550</v>
      </c>
      <c r="D38" s="121">
        <f>C38/C39-1</f>
        <v>-2.3341417457730773E-2</v>
      </c>
    </row>
    <row r="39" spans="2:4" x14ac:dyDescent="0.25">
      <c r="B39" s="119">
        <v>2016</v>
      </c>
      <c r="C39" s="120">
        <v>754153</v>
      </c>
      <c r="D39" s="121">
        <f>C39/C40-1</f>
        <v>9.2071633474327674E-2</v>
      </c>
    </row>
    <row r="40" spans="2:4" x14ac:dyDescent="0.25">
      <c r="B40" s="119">
        <v>2015</v>
      </c>
      <c r="C40" s="120">
        <v>690571</v>
      </c>
      <c r="D40" s="121">
        <f t="shared" si="2"/>
        <v>5.0932654393603505E-2</v>
      </c>
    </row>
    <row r="41" spans="2:4" x14ac:dyDescent="0.25">
      <c r="B41" s="119">
        <v>2014</v>
      </c>
      <c r="C41" s="120">
        <v>657103</v>
      </c>
      <c r="D41" s="121">
        <f t="shared" si="2"/>
        <v>3.1466572064980047E-2</v>
      </c>
    </row>
    <row r="42" spans="2:4" x14ac:dyDescent="0.25">
      <c r="B42" s="119">
        <v>2013</v>
      </c>
      <c r="C42" s="120">
        <v>637057</v>
      </c>
      <c r="D42" s="121">
        <f t="shared" si="2"/>
        <v>2.3014974507206132E-2</v>
      </c>
    </row>
    <row r="43" spans="2:4" x14ac:dyDescent="0.25">
      <c r="B43" s="119">
        <v>2012</v>
      </c>
      <c r="C43" s="120">
        <v>622725</v>
      </c>
      <c r="D43" s="121">
        <f>C43/C44-1</f>
        <v>-1.015555209389718E-2</v>
      </c>
    </row>
    <row r="44" spans="2:4" x14ac:dyDescent="0.25">
      <c r="B44" s="119">
        <v>2011</v>
      </c>
      <c r="C44" s="120">
        <v>629114</v>
      </c>
      <c r="D44" s="121">
        <f t="shared" si="2"/>
        <v>9.636504954532632E-2</v>
      </c>
    </row>
    <row r="45" spans="2:4" x14ac:dyDescent="0.25">
      <c r="B45" s="119">
        <v>2010</v>
      </c>
      <c r="C45" s="120">
        <v>573818</v>
      </c>
      <c r="D45" s="121"/>
    </row>
    <row r="46" spans="2:4" ht="6" customHeight="1" x14ac:dyDescent="0.25"/>
    <row r="47" spans="2:4" x14ac:dyDescent="0.25">
      <c r="B47" s="107" t="s">
        <v>58</v>
      </c>
      <c r="C47" s="107"/>
      <c r="D47" s="107"/>
    </row>
    <row r="50" spans="1:5" ht="48.75" customHeight="1" thickBot="1" x14ac:dyDescent="0.3">
      <c r="B50" s="283" t="s">
        <v>279</v>
      </c>
      <c r="C50" s="283"/>
      <c r="D50" s="283"/>
      <c r="E50" s="1" t="s">
        <v>101</v>
      </c>
    </row>
    <row r="51" spans="1:5" ht="10.5" customHeight="1" thickBot="1" x14ac:dyDescent="0.3">
      <c r="B51" s="108"/>
      <c r="C51" s="109"/>
      <c r="D51" s="108"/>
      <c r="E51" s="1" t="s">
        <v>102</v>
      </c>
    </row>
    <row r="52" spans="1:5" ht="22.5" thickTop="1" thickBot="1" x14ac:dyDescent="0.3">
      <c r="B52" s="111"/>
      <c r="C52" s="305" t="s">
        <v>143</v>
      </c>
      <c r="D52" s="306"/>
    </row>
    <row r="53" spans="1:5" ht="16.5" thickTop="1" thickBot="1" x14ac:dyDescent="0.3">
      <c r="B53" s="87"/>
      <c r="C53" s="116" t="s">
        <v>150</v>
      </c>
      <c r="D53" s="117" t="s">
        <v>142</v>
      </c>
    </row>
    <row r="54" spans="1:5" x14ac:dyDescent="0.25">
      <c r="A54" s="1">
        <v>1</v>
      </c>
      <c r="B54" s="119">
        <v>2024</v>
      </c>
      <c r="C54" s="120">
        <v>662919</v>
      </c>
      <c r="D54" s="121">
        <f t="shared" ref="D54:D56" si="3">C54/C55-1</f>
        <v>6.5517224751951764E-2</v>
      </c>
    </row>
    <row r="55" spans="1:5" x14ac:dyDescent="0.25">
      <c r="A55" s="1"/>
      <c r="B55" s="119">
        <v>2023</v>
      </c>
      <c r="C55" s="120">
        <v>622157</v>
      </c>
      <c r="D55" s="121">
        <f t="shared" si="3"/>
        <v>6.874119627580999E-2</v>
      </c>
    </row>
    <row r="56" spans="1:5" x14ac:dyDescent="0.25">
      <c r="A56" s="1"/>
      <c r="B56" s="119">
        <v>2022</v>
      </c>
      <c r="C56" s="120">
        <v>582140</v>
      </c>
      <c r="D56" s="121">
        <f t="shared" si="3"/>
        <v>1.8173335656348608</v>
      </c>
    </row>
    <row r="57" spans="1:5" x14ac:dyDescent="0.25">
      <c r="A57" s="1"/>
      <c r="B57" s="119">
        <v>2021</v>
      </c>
      <c r="C57" s="120">
        <v>206628</v>
      </c>
      <c r="D57" s="121">
        <f>C57/C58-1</f>
        <v>0.26137279320196316</v>
      </c>
    </row>
    <row r="58" spans="1:5" x14ac:dyDescent="0.25">
      <c r="A58" s="1">
        <v>2</v>
      </c>
      <c r="B58" s="119">
        <v>2020</v>
      </c>
      <c r="C58" s="120">
        <v>163812</v>
      </c>
      <c r="D58" s="121">
        <f t="shared" ref="D58:D67" si="4">C58/C59-1</f>
        <v>-0.70907347221482231</v>
      </c>
    </row>
    <row r="59" spans="1:5" x14ac:dyDescent="0.25">
      <c r="A59" s="1">
        <v>3</v>
      </c>
      <c r="B59" s="119">
        <v>2019</v>
      </c>
      <c r="C59" s="120">
        <v>563070</v>
      </c>
      <c r="D59" s="121">
        <f t="shared" si="4"/>
        <v>8.2920637362848604E-2</v>
      </c>
    </row>
    <row r="60" spans="1:5" x14ac:dyDescent="0.25">
      <c r="A60" s="1">
        <v>4</v>
      </c>
      <c r="B60" s="119">
        <v>2018</v>
      </c>
      <c r="C60" s="120">
        <v>519955</v>
      </c>
      <c r="D60" s="121">
        <f t="shared" si="4"/>
        <v>8.9510866426678604E-4</v>
      </c>
    </row>
    <row r="61" spans="1:5" x14ac:dyDescent="0.25">
      <c r="A61" s="1">
        <v>5</v>
      </c>
      <c r="B61" s="119">
        <v>2017</v>
      </c>
      <c r="C61" s="120">
        <v>519490</v>
      </c>
      <c r="D61" s="121">
        <f>C61/C62-1</f>
        <v>-3.875759571901205E-2</v>
      </c>
    </row>
    <row r="62" spans="1:5" x14ac:dyDescent="0.25">
      <c r="A62" s="1">
        <v>6</v>
      </c>
      <c r="B62" s="119">
        <v>2016</v>
      </c>
      <c r="C62" s="120">
        <v>540436</v>
      </c>
      <c r="D62" s="121">
        <f>C62/C63-1</f>
        <v>7.7344773212502327E-2</v>
      </c>
    </row>
    <row r="63" spans="1:5" x14ac:dyDescent="0.25">
      <c r="A63" s="1">
        <v>7</v>
      </c>
      <c r="B63" s="119">
        <v>2015</v>
      </c>
      <c r="C63" s="120">
        <v>501637</v>
      </c>
      <c r="D63" s="121">
        <f t="shared" si="4"/>
        <v>5.9821854889483328E-2</v>
      </c>
    </row>
    <row r="64" spans="1:5" x14ac:dyDescent="0.25">
      <c r="A64" s="1">
        <v>8</v>
      </c>
      <c r="B64" s="119">
        <v>2014</v>
      </c>
      <c r="C64" s="120">
        <v>473322</v>
      </c>
      <c r="D64" s="121">
        <f t="shared" si="4"/>
        <v>5.0393463141402695E-2</v>
      </c>
    </row>
    <row r="65" spans="1:5" x14ac:dyDescent="0.25">
      <c r="A65" s="1">
        <v>9</v>
      </c>
      <c r="B65" s="119">
        <v>2013</v>
      </c>
      <c r="C65" s="120">
        <v>450614</v>
      </c>
      <c r="D65" s="121">
        <f t="shared" si="4"/>
        <v>4.1930262671106222E-2</v>
      </c>
    </row>
    <row r="66" spans="1:5" x14ac:dyDescent="0.25">
      <c r="A66" s="1">
        <v>10</v>
      </c>
      <c r="B66" s="119">
        <v>2012</v>
      </c>
      <c r="C66" s="120">
        <v>432480</v>
      </c>
      <c r="D66" s="121">
        <f>C66/C67-1</f>
        <v>2.6714811728592913E-2</v>
      </c>
    </row>
    <row r="67" spans="1:5" x14ac:dyDescent="0.25">
      <c r="A67" s="1">
        <v>11</v>
      </c>
      <c r="B67" s="119">
        <v>2011</v>
      </c>
      <c r="C67" s="120">
        <v>421227</v>
      </c>
      <c r="D67" s="121">
        <f t="shared" si="4"/>
        <v>6.7995405784350815E-2</v>
      </c>
    </row>
    <row r="68" spans="1:5" x14ac:dyDescent="0.25">
      <c r="A68" s="1">
        <v>12</v>
      </c>
      <c r="B68" s="119">
        <v>2010</v>
      </c>
      <c r="C68" s="120">
        <v>394409</v>
      </c>
      <c r="D68" s="121"/>
    </row>
    <row r="69" spans="1:5" ht="6" customHeight="1" x14ac:dyDescent="0.25"/>
    <row r="70" spans="1:5" x14ac:dyDescent="0.25">
      <c r="B70" s="107" t="s">
        <v>58</v>
      </c>
      <c r="C70" s="107"/>
      <c r="D70" s="107"/>
    </row>
    <row r="73" spans="1:5" ht="48.75" customHeight="1" thickBot="1" x14ac:dyDescent="0.3">
      <c r="B73" s="283" t="s">
        <v>151</v>
      </c>
      <c r="C73" s="283"/>
      <c r="D73" s="283"/>
      <c r="E73" s="1" t="s">
        <v>104</v>
      </c>
    </row>
    <row r="74" spans="1:5" ht="10.5" customHeight="1" thickBot="1" x14ac:dyDescent="0.3">
      <c r="B74" s="108"/>
      <c r="C74" s="109"/>
      <c r="D74" s="108"/>
      <c r="E74" s="1" t="s">
        <v>105</v>
      </c>
    </row>
    <row r="75" spans="1:5" ht="22.5" thickTop="1" thickBot="1" x14ac:dyDescent="0.3">
      <c r="B75" s="111"/>
      <c r="C75" s="305" t="s">
        <v>145</v>
      </c>
      <c r="D75" s="306"/>
    </row>
    <row r="76" spans="1:5" ht="16.5" thickTop="1" thickBot="1" x14ac:dyDescent="0.3">
      <c r="B76" s="87"/>
      <c r="C76" s="116" t="s">
        <v>150</v>
      </c>
      <c r="D76" s="117" t="s">
        <v>142</v>
      </c>
    </row>
    <row r="77" spans="1:5" x14ac:dyDescent="0.25">
      <c r="A77" s="1">
        <v>1</v>
      </c>
      <c r="B77" s="119">
        <v>2024</v>
      </c>
      <c r="C77" s="120">
        <v>212842</v>
      </c>
      <c r="D77" s="121">
        <f t="shared" ref="D77:D83" si="5">C77/C78-1</f>
        <v>3.9287876716342041E-2</v>
      </c>
    </row>
    <row r="78" spans="1:5" x14ac:dyDescent="0.25">
      <c r="A78" s="1"/>
      <c r="B78" s="119">
        <v>2023</v>
      </c>
      <c r="C78" s="120">
        <v>204796</v>
      </c>
      <c r="D78" s="121">
        <f t="shared" si="5"/>
        <v>0.12567951586040871</v>
      </c>
    </row>
    <row r="79" spans="1:5" x14ac:dyDescent="0.25">
      <c r="A79" s="1"/>
      <c r="B79" s="119">
        <v>2022</v>
      </c>
      <c r="C79" s="120">
        <v>181931</v>
      </c>
      <c r="D79" s="121">
        <f t="shared" si="5"/>
        <v>2.5825883186956009</v>
      </c>
    </row>
    <row r="80" spans="1:5" x14ac:dyDescent="0.25">
      <c r="A80" s="1"/>
      <c r="B80" s="119">
        <v>2021</v>
      </c>
      <c r="C80" s="120">
        <v>50782</v>
      </c>
      <c r="D80" s="121">
        <f t="shared" si="5"/>
        <v>-0.12607558339643421</v>
      </c>
    </row>
    <row r="81" spans="1:5" x14ac:dyDescent="0.25">
      <c r="A81" s="1">
        <v>2</v>
      </c>
      <c r="B81" s="119">
        <v>2020</v>
      </c>
      <c r="C81" s="120">
        <v>58108</v>
      </c>
      <c r="D81" s="121">
        <f t="shared" si="5"/>
        <v>-0.67950492810536822</v>
      </c>
    </row>
    <row r="82" spans="1:5" x14ac:dyDescent="0.25">
      <c r="A82" s="1">
        <v>3</v>
      </c>
      <c r="B82" s="119">
        <v>2019</v>
      </c>
      <c r="C82" s="120">
        <v>181307</v>
      </c>
      <c r="D82" s="121">
        <f t="shared" si="5"/>
        <v>-0.10565933496771518</v>
      </c>
    </row>
    <row r="83" spans="1:5" x14ac:dyDescent="0.25">
      <c r="A83" s="1">
        <v>4</v>
      </c>
      <c r="B83" s="119">
        <v>2018</v>
      </c>
      <c r="C83" s="120">
        <v>202727</v>
      </c>
      <c r="D83" s="121">
        <f t="shared" si="5"/>
        <v>-6.6032433428545145E-2</v>
      </c>
    </row>
    <row r="84" spans="1:5" x14ac:dyDescent="0.25">
      <c r="A84" s="1">
        <v>5</v>
      </c>
      <c r="B84" s="119">
        <v>2017</v>
      </c>
      <c r="C84" s="120">
        <v>217060</v>
      </c>
      <c r="D84" s="121">
        <f>C84/C85-1</f>
        <v>1.5642181015080636E-2</v>
      </c>
    </row>
    <row r="85" spans="1:5" x14ac:dyDescent="0.25">
      <c r="A85" s="1">
        <v>6</v>
      </c>
      <c r="B85" s="119">
        <v>2016</v>
      </c>
      <c r="C85" s="120">
        <v>213717</v>
      </c>
      <c r="D85" s="121">
        <f>C85/C86-1</f>
        <v>0.13117279049826913</v>
      </c>
    </row>
    <row r="86" spans="1:5" x14ac:dyDescent="0.25">
      <c r="A86" s="1">
        <v>7</v>
      </c>
      <c r="B86" s="119">
        <v>2015</v>
      </c>
      <c r="C86" s="120">
        <v>188934</v>
      </c>
      <c r="D86" s="121">
        <f t="shared" ref="D86:D88" si="6">C86/C87-1</f>
        <v>2.8038807058401005E-2</v>
      </c>
    </row>
    <row r="87" spans="1:5" x14ac:dyDescent="0.25">
      <c r="A87" s="1">
        <v>8</v>
      </c>
      <c r="B87" s="119">
        <v>2014</v>
      </c>
      <c r="C87" s="120">
        <v>183781</v>
      </c>
      <c r="D87" s="121">
        <f t="shared" si="6"/>
        <v>-1.4277822176214761E-2</v>
      </c>
    </row>
    <row r="88" spans="1:5" x14ac:dyDescent="0.25">
      <c r="A88" s="1">
        <v>9</v>
      </c>
      <c r="B88" s="119">
        <v>2013</v>
      </c>
      <c r="C88" s="120">
        <v>186443</v>
      </c>
      <c r="D88" s="121">
        <f t="shared" si="6"/>
        <v>-1.9984756498199641E-2</v>
      </c>
    </row>
    <row r="89" spans="1:5" x14ac:dyDescent="0.25">
      <c r="A89" s="1">
        <v>10</v>
      </c>
      <c r="B89" s="119">
        <v>2012</v>
      </c>
      <c r="C89" s="120">
        <v>190245</v>
      </c>
      <c r="D89" s="121">
        <f>C89/C90-1</f>
        <v>-8.4863411372524511E-2</v>
      </c>
    </row>
    <row r="90" spans="1:5" x14ac:dyDescent="0.25">
      <c r="A90" s="1">
        <v>11</v>
      </c>
      <c r="B90" s="119">
        <v>2011</v>
      </c>
      <c r="C90" s="120">
        <v>207887</v>
      </c>
      <c r="D90" s="121">
        <f t="shared" ref="D90" si="7">C90/C91-1</f>
        <v>0.15873228210401935</v>
      </c>
    </row>
    <row r="91" spans="1:5" x14ac:dyDescent="0.25">
      <c r="A91" s="1">
        <v>12</v>
      </c>
      <c r="B91" s="119">
        <v>2010</v>
      </c>
      <c r="C91" s="120">
        <v>179409</v>
      </c>
      <c r="D91" s="121"/>
    </row>
    <row r="92" spans="1:5" ht="6" customHeight="1" x14ac:dyDescent="0.25"/>
    <row r="93" spans="1:5" x14ac:dyDescent="0.25">
      <c r="B93" s="107" t="s">
        <v>58</v>
      </c>
      <c r="C93" s="107"/>
      <c r="D93" s="107"/>
    </row>
    <row r="96" spans="1:5" ht="48.75" customHeight="1" thickBot="1" x14ac:dyDescent="0.3">
      <c r="B96" s="283" t="s">
        <v>280</v>
      </c>
      <c r="C96" s="283"/>
      <c r="D96" s="283"/>
      <c r="E96" s="1" t="s">
        <v>117</v>
      </c>
    </row>
    <row r="97" spans="2:5" ht="10.5" customHeight="1" thickBot="1" x14ac:dyDescent="0.3">
      <c r="B97" s="108"/>
      <c r="C97" s="109"/>
      <c r="D97" s="108"/>
      <c r="E97" s="1" t="s">
        <v>118</v>
      </c>
    </row>
    <row r="98" spans="2:5" ht="22.5" thickTop="1" thickBot="1" x14ac:dyDescent="0.3">
      <c r="B98" s="126" t="s">
        <v>99</v>
      </c>
      <c r="C98" s="305" t="s">
        <v>35</v>
      </c>
      <c r="D98" s="306"/>
    </row>
    <row r="99" spans="2:5" ht="16.5" thickTop="1" thickBot="1" x14ac:dyDescent="0.3">
      <c r="B99" s="87"/>
      <c r="C99" s="116" t="s">
        <v>150</v>
      </c>
      <c r="D99" s="117" t="s">
        <v>142</v>
      </c>
    </row>
    <row r="100" spans="2:5" x14ac:dyDescent="0.25">
      <c r="B100" s="119">
        <v>2024</v>
      </c>
      <c r="C100" s="120">
        <v>538438</v>
      </c>
      <c r="D100" s="121">
        <f t="shared" ref="D100:D113" si="8">C100/C101-1</f>
        <v>3.6404407872575817E-2</v>
      </c>
    </row>
    <row r="101" spans="2:5" x14ac:dyDescent="0.25">
      <c r="B101" s="119">
        <v>2023</v>
      </c>
      <c r="C101" s="120">
        <v>519525</v>
      </c>
      <c r="D101" s="121">
        <f t="shared" si="8"/>
        <v>3.6827042820193556E-2</v>
      </c>
    </row>
    <row r="102" spans="2:5" x14ac:dyDescent="0.25">
      <c r="B102" s="119">
        <v>2022</v>
      </c>
      <c r="C102" s="120">
        <v>501072</v>
      </c>
      <c r="D102" s="121">
        <f t="shared" si="8"/>
        <v>1.11069221599262</v>
      </c>
    </row>
    <row r="103" spans="2:5" x14ac:dyDescent="0.25">
      <c r="B103" s="119">
        <v>2021</v>
      </c>
      <c r="C103" s="120">
        <v>237397</v>
      </c>
      <c r="D103" s="121">
        <f t="shared" si="8"/>
        <v>0.29797482749948068</v>
      </c>
    </row>
    <row r="104" spans="2:5" x14ac:dyDescent="0.25">
      <c r="B104" s="119">
        <v>2020</v>
      </c>
      <c r="C104" s="120">
        <v>182898</v>
      </c>
      <c r="D104" s="121">
        <f t="shared" si="8"/>
        <v>-0.68636737773509848</v>
      </c>
    </row>
    <row r="105" spans="2:5" x14ac:dyDescent="0.25">
      <c r="B105" s="119">
        <v>2019</v>
      </c>
      <c r="C105" s="120">
        <v>583160</v>
      </c>
      <c r="D105" s="121">
        <f t="shared" si="8"/>
        <v>-7.2252201802168736E-2</v>
      </c>
    </row>
    <row r="106" spans="2:5" x14ac:dyDescent="0.25">
      <c r="B106" s="119">
        <v>2018</v>
      </c>
      <c r="C106" s="120">
        <v>628576</v>
      </c>
      <c r="D106" s="121">
        <f t="shared" si="8"/>
        <v>-3.7561934626432425E-2</v>
      </c>
    </row>
    <row r="107" spans="2:5" x14ac:dyDescent="0.25">
      <c r="B107" s="119">
        <v>2017</v>
      </c>
      <c r="C107" s="120">
        <v>653108</v>
      </c>
      <c r="D107" s="121">
        <f t="shared" si="8"/>
        <v>4.8615270001878486E-2</v>
      </c>
    </row>
    <row r="108" spans="2:5" x14ac:dyDescent="0.25">
      <c r="B108" s="119">
        <v>2016</v>
      </c>
      <c r="C108" s="120">
        <v>622829</v>
      </c>
      <c r="D108" s="121">
        <f t="shared" si="8"/>
        <v>7.0441682721971377E-2</v>
      </c>
    </row>
    <row r="109" spans="2:5" x14ac:dyDescent="0.25">
      <c r="B109" s="119">
        <v>2015</v>
      </c>
      <c r="C109" s="120">
        <v>581843</v>
      </c>
      <c r="D109" s="121">
        <f t="shared" si="8"/>
        <v>2.1443408347945336E-3</v>
      </c>
    </row>
    <row r="110" spans="2:5" x14ac:dyDescent="0.25">
      <c r="B110" s="119">
        <v>2014</v>
      </c>
      <c r="C110" s="120">
        <v>580598</v>
      </c>
      <c r="D110" s="121">
        <f t="shared" si="8"/>
        <v>1.8169638238135999E-2</v>
      </c>
    </row>
    <row r="111" spans="2:5" x14ac:dyDescent="0.25">
      <c r="B111" s="119">
        <v>2013</v>
      </c>
      <c r="C111" s="120">
        <v>570237</v>
      </c>
      <c r="D111" s="121">
        <f t="shared" si="8"/>
        <v>4.6663631991835652E-2</v>
      </c>
    </row>
    <row r="112" spans="2:5" x14ac:dyDescent="0.25">
      <c r="B112" s="119">
        <v>2012</v>
      </c>
      <c r="C112" s="120">
        <v>544814</v>
      </c>
      <c r="D112" s="121">
        <f t="shared" si="8"/>
        <v>1.6574894902515513E-2</v>
      </c>
    </row>
    <row r="113" spans="2:4" x14ac:dyDescent="0.25">
      <c r="B113" s="119">
        <v>2011</v>
      </c>
      <c r="C113" s="120">
        <v>535931</v>
      </c>
      <c r="D113" s="121">
        <f t="shared" si="8"/>
        <v>0.12152304022098526</v>
      </c>
    </row>
    <row r="114" spans="2:4" x14ac:dyDescent="0.25">
      <c r="B114" s="119">
        <v>2010</v>
      </c>
      <c r="C114" s="120">
        <v>477860</v>
      </c>
      <c r="D114" s="121"/>
    </row>
    <row r="115" spans="2:4" ht="6" customHeight="1" x14ac:dyDescent="0.25"/>
    <row r="116" spans="2:4" x14ac:dyDescent="0.25">
      <c r="B116" s="107" t="s">
        <v>58</v>
      </c>
      <c r="C116" s="107"/>
      <c r="D116" s="107"/>
    </row>
  </sheetData>
  <mergeCells count="10">
    <mergeCell ref="B73:D73"/>
    <mergeCell ref="C75:D75"/>
    <mergeCell ref="B96:D96"/>
    <mergeCell ref="C98:D98"/>
    <mergeCell ref="B4:D4"/>
    <mergeCell ref="C6:D6"/>
    <mergeCell ref="B27:D27"/>
    <mergeCell ref="C29:D29"/>
    <mergeCell ref="B50:D50"/>
    <mergeCell ref="C52:D52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4ABEB-DF33-4EF6-902B-12213B62F58F}">
  <sheetPr>
    <tabColor rgb="FFBB5C0D"/>
  </sheetPr>
  <dimension ref="B4:B25"/>
  <sheetViews>
    <sheetView showGridLines="0" workbookViewId="0">
      <selection activeCell="H9" sqref="H9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F65D8-C6FF-4246-9F29-F9A4CAA91617}">
  <sheetPr>
    <tabColor rgb="FFF29140"/>
  </sheetPr>
  <dimension ref="A4:O270"/>
  <sheetViews>
    <sheetView showGridLines="0" topLeftCell="E1" zoomScaleNormal="100" workbookViewId="0">
      <selection activeCell="H9" sqref="H9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281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 t="shared" ref="C7" si="0">E7-1</f>
        <v>2020</v>
      </c>
      <c r="D7" s="308"/>
      <c r="E7" s="309">
        <f t="shared" ref="E7" si="1">G7-1</f>
        <v>2021</v>
      </c>
      <c r="F7" s="308"/>
      <c r="G7" s="309">
        <f t="shared" ref="G7" si="2">I7-1</f>
        <v>2022</v>
      </c>
      <c r="H7" s="308"/>
      <c r="I7" s="309">
        <f t="shared" ref="I7" si="3"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893934</v>
      </c>
      <c r="D9" s="121">
        <v>2.0976097801655547E-2</v>
      </c>
      <c r="E9" s="120">
        <v>51667</v>
      </c>
      <c r="F9" s="121">
        <f t="shared" ref="F9:L21" si="4">IFERROR(E9/C9-1,"-")</f>
        <v>-0.94220266820593024</v>
      </c>
      <c r="G9" s="120">
        <v>576461</v>
      </c>
      <c r="H9" s="121">
        <f t="shared" si="4"/>
        <v>10.157237695240676</v>
      </c>
      <c r="I9" s="120">
        <v>810733</v>
      </c>
      <c r="J9" s="121">
        <f t="shared" si="4"/>
        <v>0.40639696354133248</v>
      </c>
      <c r="K9" s="120">
        <v>835098</v>
      </c>
      <c r="L9" s="121">
        <f t="shared" si="4"/>
        <v>3.0053050757770983E-2</v>
      </c>
      <c r="M9" s="120">
        <v>876312</v>
      </c>
      <c r="N9" s="121">
        <f>IFERROR(M9/K9-1,"-")</f>
        <v>4.9352291587334562E-2</v>
      </c>
    </row>
    <row r="10" spans="1:15" x14ac:dyDescent="0.25">
      <c r="A10" s="1" t="s">
        <v>75</v>
      </c>
      <c r="B10" s="119" t="s">
        <v>76</v>
      </c>
      <c r="C10" s="120">
        <v>832182</v>
      </c>
      <c r="D10" s="121">
        <v>3.5273715272421402E-2</v>
      </c>
      <c r="E10" s="120">
        <v>53867</v>
      </c>
      <c r="F10" s="121">
        <f t="shared" si="4"/>
        <v>-0.93527016926585771</v>
      </c>
      <c r="G10" s="120">
        <v>608977</v>
      </c>
      <c r="H10" s="121">
        <f t="shared" si="4"/>
        <v>10.305196131212059</v>
      </c>
      <c r="I10" s="120">
        <v>773844</v>
      </c>
      <c r="J10" s="121">
        <f t="shared" si="4"/>
        <v>0.27072779431735516</v>
      </c>
      <c r="K10" s="120">
        <v>824761</v>
      </c>
      <c r="L10" s="121">
        <f t="shared" si="4"/>
        <v>6.5797499237572499E-2</v>
      </c>
      <c r="M10" s="120">
        <v>812017</v>
      </c>
      <c r="N10" s="121">
        <f t="shared" ref="N10:N20" si="5">IFERROR(M10/K10-1,"-")</f>
        <v>-1.5451749052149633E-2</v>
      </c>
    </row>
    <row r="11" spans="1:15" x14ac:dyDescent="0.25">
      <c r="A11" s="1" t="s">
        <v>77</v>
      </c>
      <c r="B11" s="119" t="s">
        <v>78</v>
      </c>
      <c r="C11" s="120">
        <v>381721</v>
      </c>
      <c r="D11" s="121">
        <v>-0.55779099968258161</v>
      </c>
      <c r="E11" s="120">
        <v>73467</v>
      </c>
      <c r="F11" s="121">
        <f t="shared" si="4"/>
        <v>-0.80753744226804391</v>
      </c>
      <c r="G11" s="120">
        <v>747881</v>
      </c>
      <c r="H11" s="121">
        <f t="shared" si="4"/>
        <v>9.1798222331114658</v>
      </c>
      <c r="I11" s="120">
        <v>818402</v>
      </c>
      <c r="J11" s="121">
        <f t="shared" si="4"/>
        <v>9.4294413148615863E-2</v>
      </c>
      <c r="K11" s="120">
        <v>866668</v>
      </c>
      <c r="L11" s="121">
        <f t="shared" si="4"/>
        <v>5.8975906705995396E-2</v>
      </c>
      <c r="M11" s="120">
        <v>828674</v>
      </c>
      <c r="N11" s="121">
        <f t="shared" si="5"/>
        <v>-4.3839163324364105E-2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71140</v>
      </c>
      <c r="F12" s="121" t="str">
        <f t="shared" si="4"/>
        <v>-</v>
      </c>
      <c r="G12" s="120">
        <v>725227</v>
      </c>
      <c r="H12" s="121">
        <f t="shared" si="4"/>
        <v>9.1943632274388527</v>
      </c>
      <c r="I12" s="120">
        <v>745949</v>
      </c>
      <c r="J12" s="121">
        <f t="shared" si="4"/>
        <v>2.8573122622296276E-2</v>
      </c>
      <c r="K12" s="120">
        <v>789795</v>
      </c>
      <c r="L12" s="121">
        <f t="shared" si="4"/>
        <v>5.8778817318610344E-2</v>
      </c>
      <c r="M12" s="120">
        <v>754621</v>
      </c>
      <c r="N12" s="121">
        <f t="shared" si="5"/>
        <v>-4.4535607341145478E-2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71284</v>
      </c>
      <c r="F13" s="121" t="str">
        <f t="shared" si="4"/>
        <v>-</v>
      </c>
      <c r="G13" s="120">
        <v>653261</v>
      </c>
      <c r="H13" s="121">
        <f t="shared" si="4"/>
        <v>8.1642023455473876</v>
      </c>
      <c r="I13" s="120">
        <v>671021</v>
      </c>
      <c r="J13" s="121">
        <f t="shared" si="4"/>
        <v>2.7186683423623847E-2</v>
      </c>
      <c r="K13" s="120">
        <v>746827</v>
      </c>
      <c r="L13" s="121">
        <f t="shared" si="4"/>
        <v>0.11297112907047624</v>
      </c>
      <c r="M13" s="120">
        <v>741128</v>
      </c>
      <c r="N13" s="121">
        <f t="shared" si="5"/>
        <v>-7.6309506753237111E-3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113899</v>
      </c>
      <c r="F14" s="121" t="str">
        <f t="shared" si="4"/>
        <v>-</v>
      </c>
      <c r="G14" s="120">
        <v>672943</v>
      </c>
      <c r="H14" s="121">
        <f t="shared" si="4"/>
        <v>4.9082432681586319</v>
      </c>
      <c r="I14" s="120">
        <v>758024</v>
      </c>
      <c r="J14" s="121">
        <f t="shared" si="4"/>
        <v>0.12643121334199181</v>
      </c>
      <c r="K14" s="120">
        <v>787690</v>
      </c>
      <c r="L14" s="121">
        <f t="shared" si="4"/>
        <v>3.9135964032801063E-2</v>
      </c>
      <c r="M14" s="120">
        <v>808867</v>
      </c>
      <c r="N14" s="121">
        <f t="shared" si="5"/>
        <v>2.6884942045728666E-2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254312</v>
      </c>
      <c r="F15" s="121" t="str">
        <f t="shared" si="4"/>
        <v>-</v>
      </c>
      <c r="G15" s="120">
        <v>858220</v>
      </c>
      <c r="H15" s="121">
        <f t="shared" si="4"/>
        <v>2.3746736292428197</v>
      </c>
      <c r="I15" s="120">
        <v>872319</v>
      </c>
      <c r="J15" s="121">
        <f t="shared" si="4"/>
        <v>1.6428188576355751E-2</v>
      </c>
      <c r="K15" s="120">
        <v>895588</v>
      </c>
      <c r="L15" s="121">
        <f t="shared" si="4"/>
        <v>2.6674874673141336E-2</v>
      </c>
      <c r="M15" s="120">
        <v>931484</v>
      </c>
      <c r="N15" s="121">
        <f t="shared" si="5"/>
        <v>4.0080930070523602E-2</v>
      </c>
    </row>
    <row r="16" spans="1:15" x14ac:dyDescent="0.25">
      <c r="A16" s="1" t="s">
        <v>87</v>
      </c>
      <c r="B16" s="119" t="s">
        <v>88</v>
      </c>
      <c r="C16" s="120">
        <v>191201</v>
      </c>
      <c r="D16" s="121">
        <v>-0.80228508439032353</v>
      </c>
      <c r="E16" s="120">
        <v>386772</v>
      </c>
      <c r="F16" s="121">
        <f t="shared" si="4"/>
        <v>1.0228555289982793</v>
      </c>
      <c r="G16" s="120">
        <v>895466</v>
      </c>
      <c r="H16" s="121">
        <f t="shared" si="4"/>
        <v>1.3152296443382663</v>
      </c>
      <c r="I16" s="120">
        <v>947197</v>
      </c>
      <c r="J16" s="121">
        <f t="shared" si="4"/>
        <v>5.7769920912686734E-2</v>
      </c>
      <c r="K16" s="120">
        <v>936279</v>
      </c>
      <c r="L16" s="121">
        <f t="shared" si="4"/>
        <v>-1.1526641237250557E-2</v>
      </c>
      <c r="M16" s="120">
        <v>908634</v>
      </c>
      <c r="N16" s="121">
        <f t="shared" si="5"/>
        <v>-2.9526455255324491E-2</v>
      </c>
    </row>
    <row r="17" spans="1:15" x14ac:dyDescent="0.25">
      <c r="A17" s="1" t="s">
        <v>89</v>
      </c>
      <c r="B17" s="119" t="s">
        <v>90</v>
      </c>
      <c r="C17" s="120">
        <v>105790</v>
      </c>
      <c r="D17" s="121">
        <v>-0.86726440969738949</v>
      </c>
      <c r="E17" s="120">
        <v>422869</v>
      </c>
      <c r="F17" s="121">
        <f t="shared" si="4"/>
        <v>2.99724926741658</v>
      </c>
      <c r="G17" s="120">
        <v>748642</v>
      </c>
      <c r="H17" s="121">
        <f t="shared" si="4"/>
        <v>0.77038751953914808</v>
      </c>
      <c r="I17" s="120">
        <v>799868</v>
      </c>
      <c r="J17" s="121">
        <f t="shared" si="4"/>
        <v>6.8425228613943734E-2</v>
      </c>
      <c r="K17" s="120">
        <v>807680</v>
      </c>
      <c r="L17" s="121">
        <f t="shared" si="4"/>
        <v>9.7666114908960822E-3</v>
      </c>
      <c r="M17" s="120">
        <v>815302</v>
      </c>
      <c r="N17" s="121">
        <f t="shared" si="5"/>
        <v>9.4369057052297034E-3</v>
      </c>
    </row>
    <row r="18" spans="1:15" x14ac:dyDescent="0.25">
      <c r="A18" s="1" t="s">
        <v>91</v>
      </c>
      <c r="B18" s="119" t="s">
        <v>92</v>
      </c>
      <c r="C18" s="120">
        <v>101639</v>
      </c>
      <c r="D18" s="121">
        <v>-0.8772455089820359</v>
      </c>
      <c r="E18" s="120">
        <v>627412</v>
      </c>
      <c r="F18" s="121">
        <f t="shared" si="4"/>
        <v>5.1729454244925668</v>
      </c>
      <c r="G18" s="120">
        <v>801936</v>
      </c>
      <c r="H18" s="121">
        <f t="shared" si="4"/>
        <v>0.27816490599478483</v>
      </c>
      <c r="I18" s="120">
        <v>863416</v>
      </c>
      <c r="J18" s="121">
        <f t="shared" si="4"/>
        <v>7.6664471977813786E-2</v>
      </c>
      <c r="K18" s="120">
        <v>870321</v>
      </c>
      <c r="L18" s="121">
        <f t="shared" si="4"/>
        <v>7.997303733078942E-3</v>
      </c>
      <c r="M18" s="120">
        <v>899430</v>
      </c>
      <c r="N18" s="121">
        <f t="shared" si="5"/>
        <v>3.3446280165594144E-2</v>
      </c>
    </row>
    <row r="19" spans="1:15" x14ac:dyDescent="0.25">
      <c r="A19" s="1" t="s">
        <v>93</v>
      </c>
      <c r="B19" s="119" t="s">
        <v>94</v>
      </c>
      <c r="C19" s="120">
        <v>110775</v>
      </c>
      <c r="D19" s="121">
        <v>-0.86625818719628145</v>
      </c>
      <c r="E19" s="120">
        <v>660916</v>
      </c>
      <c r="F19" s="121">
        <f t="shared" si="4"/>
        <v>4.9662920334010385</v>
      </c>
      <c r="G19" s="120">
        <v>785918</v>
      </c>
      <c r="H19" s="121">
        <f t="shared" si="4"/>
        <v>0.18913447397248673</v>
      </c>
      <c r="I19" s="120">
        <v>847777</v>
      </c>
      <c r="J19" s="121">
        <f t="shared" si="4"/>
        <v>7.8709229207118314E-2</v>
      </c>
      <c r="K19" s="120">
        <v>817457</v>
      </c>
      <c r="L19" s="121">
        <f t="shared" si="4"/>
        <v>-3.5764121933008375E-2</v>
      </c>
      <c r="M19" s="120">
        <v>815614</v>
      </c>
      <c r="N19" s="121">
        <f t="shared" si="5"/>
        <v>-2.2545528388648872E-3</v>
      </c>
    </row>
    <row r="20" spans="1:15" x14ac:dyDescent="0.25">
      <c r="A20" s="1" t="s">
        <v>95</v>
      </c>
      <c r="B20" s="119" t="s">
        <v>96</v>
      </c>
      <c r="C20" s="120">
        <v>118240</v>
      </c>
      <c r="D20" s="121">
        <v>-0.86305431499360674</v>
      </c>
      <c r="E20" s="120">
        <v>579557</v>
      </c>
      <c r="F20" s="121">
        <f t="shared" si="4"/>
        <v>3.9015307848443843</v>
      </c>
      <c r="G20" s="120">
        <v>790311</v>
      </c>
      <c r="H20" s="121">
        <f t="shared" si="4"/>
        <v>0.36364671637129731</v>
      </c>
      <c r="I20" s="120">
        <v>831777</v>
      </c>
      <c r="J20" s="121">
        <f t="shared" si="4"/>
        <v>5.2467952489589464E-2</v>
      </c>
      <c r="K20" s="120">
        <v>834955</v>
      </c>
      <c r="L20" s="121">
        <f t="shared" si="4"/>
        <v>3.8207356058175268E-3</v>
      </c>
      <c r="M20" s="120">
        <v>802051</v>
      </c>
      <c r="N20" s="121">
        <f t="shared" si="5"/>
        <v>-3.9408111814409175E-2</v>
      </c>
    </row>
    <row r="21" spans="1:15" ht="15.75" x14ac:dyDescent="0.25">
      <c r="A21" s="1" t="s">
        <v>0</v>
      </c>
      <c r="B21" s="122" t="s">
        <v>33</v>
      </c>
      <c r="C21" s="123">
        <v>2858440</v>
      </c>
      <c r="D21" s="124">
        <v>-0.71680604408130044</v>
      </c>
      <c r="E21" s="123">
        <v>3367162</v>
      </c>
      <c r="F21" s="124">
        <f t="shared" si="4"/>
        <v>0.17797190075705638</v>
      </c>
      <c r="G21" s="123">
        <v>8865243</v>
      </c>
      <c r="H21" s="124">
        <f t="shared" si="4"/>
        <v>1.6328531267577859</v>
      </c>
      <c r="I21" s="123">
        <v>9740327</v>
      </c>
      <c r="J21" s="124">
        <f t="shared" si="4"/>
        <v>9.8709533399140792E-2</v>
      </c>
      <c r="K21" s="123">
        <v>10013119</v>
      </c>
      <c r="L21" s="124">
        <f t="shared" si="4"/>
        <v>2.8006451939447174E-2</v>
      </c>
      <c r="M21" s="123">
        <v>9994134</v>
      </c>
      <c r="N21" s="124">
        <v>-1.8960126210424422E-3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C24" s="125"/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282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$C$7</f>
        <v>2020</v>
      </c>
      <c r="D29" s="308"/>
      <c r="E29" s="309">
        <f>$E$7</f>
        <v>2021</v>
      </c>
      <c r="F29" s="308"/>
      <c r="G29" s="309">
        <f>$G$7</f>
        <v>2022</v>
      </c>
      <c r="H29" s="308"/>
      <c r="I29" s="309">
        <f>$I$7</f>
        <v>2023</v>
      </c>
      <c r="J29" s="308"/>
      <c r="K29" s="309">
        <f>$K$7</f>
        <v>2024</v>
      </c>
      <c r="L29" s="308"/>
      <c r="M29" s="309">
        <f>$M$7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CONCATENATE("var. ",RIGHT(C29,2),"/",RIGHT(C29-1,2))</f>
        <v>var. 20/19</v>
      </c>
      <c r="E30" s="118" t="s">
        <v>72</v>
      </c>
      <c r="F30" s="117" t="s">
        <v>254</v>
      </c>
      <c r="G30" s="118" t="s">
        <v>72</v>
      </c>
      <c r="H30" s="117" t="s">
        <v>254</v>
      </c>
      <c r="I30" s="118" t="s">
        <v>72</v>
      </c>
      <c r="J30" s="117" t="s">
        <v>254</v>
      </c>
      <c r="K30" s="118" t="s">
        <v>72</v>
      </c>
      <c r="L30" s="117" t="s">
        <v>254</v>
      </c>
      <c r="M30" s="118" t="s">
        <v>72</v>
      </c>
      <c r="N30" s="117" t="s">
        <v>283</v>
      </c>
    </row>
    <row r="31" spans="1:15" x14ac:dyDescent="0.25">
      <c r="B31" s="119" t="s">
        <v>74</v>
      </c>
      <c r="C31" s="120">
        <v>37671</v>
      </c>
      <c r="D31" s="121">
        <v>0.29409137753349368</v>
      </c>
      <c r="E31" s="120">
        <v>5567</v>
      </c>
      <c r="F31" s="121">
        <f t="shared" ref="F31:L43" si="6">IFERROR(E31/C31-1,"-")</f>
        <v>-0.85222054099970801</v>
      </c>
      <c r="G31" s="120">
        <v>23050</v>
      </c>
      <c r="H31" s="121">
        <f t="shared" si="6"/>
        <v>3.1404706305011674</v>
      </c>
      <c r="I31" s="120">
        <v>31748</v>
      </c>
      <c r="J31" s="121">
        <f t="shared" si="6"/>
        <v>0.377353579175705</v>
      </c>
      <c r="K31" s="120">
        <v>30511</v>
      </c>
      <c r="L31" s="121">
        <f t="shared" si="6"/>
        <v>-3.8963084288774041E-2</v>
      </c>
      <c r="M31" s="120">
        <v>34050</v>
      </c>
      <c r="N31" s="121">
        <f t="shared" ref="N31:N42" si="7">IFERROR(M31/K31-1,"-")</f>
        <v>0.11599095408213422</v>
      </c>
    </row>
    <row r="32" spans="1:15" x14ac:dyDescent="0.25">
      <c r="B32" s="119" t="s">
        <v>76</v>
      </c>
      <c r="C32" s="120">
        <v>31441</v>
      </c>
      <c r="D32" s="121">
        <v>-0.1028904043142066</v>
      </c>
      <c r="E32" s="120">
        <v>8033</v>
      </c>
      <c r="F32" s="121">
        <f t="shared" si="6"/>
        <v>-0.74450558188352789</v>
      </c>
      <c r="G32" s="120">
        <v>23773</v>
      </c>
      <c r="H32" s="121">
        <f t="shared" si="6"/>
        <v>1.9594174032117517</v>
      </c>
      <c r="I32" s="120">
        <v>21281</v>
      </c>
      <c r="J32" s="121">
        <f t="shared" si="6"/>
        <v>-0.10482480124510996</v>
      </c>
      <c r="K32" s="120">
        <v>26641</v>
      </c>
      <c r="L32" s="121">
        <f t="shared" si="6"/>
        <v>0.25186786335228617</v>
      </c>
      <c r="M32" s="120">
        <v>30506</v>
      </c>
      <c r="N32" s="121">
        <f t="shared" si="7"/>
        <v>0.14507713674411615</v>
      </c>
    </row>
    <row r="33" spans="2:15" x14ac:dyDescent="0.25">
      <c r="B33" s="119" t="s">
        <v>78</v>
      </c>
      <c r="C33" s="120">
        <v>13981</v>
      </c>
      <c r="D33" s="121">
        <v>-0.59311428654579323</v>
      </c>
      <c r="E33" s="120">
        <v>11915</v>
      </c>
      <c r="F33" s="121">
        <f t="shared" si="6"/>
        <v>-0.14777197625348693</v>
      </c>
      <c r="G33" s="120">
        <v>26880</v>
      </c>
      <c r="H33" s="121">
        <f t="shared" si="6"/>
        <v>1.2559798573227026</v>
      </c>
      <c r="I33" s="120">
        <v>24322</v>
      </c>
      <c r="J33" s="121">
        <f t="shared" si="6"/>
        <v>-9.5163690476190443E-2</v>
      </c>
      <c r="K33" s="120">
        <v>38910</v>
      </c>
      <c r="L33" s="121">
        <f t="shared" si="6"/>
        <v>0.59978620179261566</v>
      </c>
      <c r="M33" s="120">
        <v>29803</v>
      </c>
      <c r="N33" s="121">
        <f t="shared" si="7"/>
        <v>-0.23405294268825494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15305</v>
      </c>
      <c r="F34" s="121" t="str">
        <f t="shared" si="6"/>
        <v>-</v>
      </c>
      <c r="G34" s="120">
        <v>48682</v>
      </c>
      <c r="H34" s="121">
        <f t="shared" si="6"/>
        <v>2.1807905913100294</v>
      </c>
      <c r="I34" s="120">
        <v>46080</v>
      </c>
      <c r="J34" s="121">
        <f t="shared" si="6"/>
        <v>-5.3448913356065941E-2</v>
      </c>
      <c r="K34" s="120">
        <v>38278</v>
      </c>
      <c r="L34" s="121">
        <f t="shared" si="6"/>
        <v>-0.16931423611111107</v>
      </c>
      <c r="M34" s="120">
        <v>53611</v>
      </c>
      <c r="N34" s="121">
        <f t="shared" si="7"/>
        <v>0.40056951773864879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16133</v>
      </c>
      <c r="F35" s="121" t="str">
        <f t="shared" si="6"/>
        <v>-</v>
      </c>
      <c r="G35" s="120">
        <v>35593</v>
      </c>
      <c r="H35" s="121">
        <f t="shared" si="6"/>
        <v>1.2062232690758075</v>
      </c>
      <c r="I35" s="120">
        <v>29396</v>
      </c>
      <c r="J35" s="121">
        <f t="shared" si="6"/>
        <v>-0.17410726828308942</v>
      </c>
      <c r="K35" s="120">
        <v>41371</v>
      </c>
      <c r="L35" s="121">
        <f t="shared" si="6"/>
        <v>0.40736834943529732</v>
      </c>
      <c r="M35" s="120">
        <v>35251</v>
      </c>
      <c r="N35" s="121">
        <f t="shared" si="7"/>
        <v>-0.14792970921660098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23727</v>
      </c>
      <c r="F36" s="121" t="str">
        <f t="shared" si="6"/>
        <v>-</v>
      </c>
      <c r="G36" s="120">
        <v>44483</v>
      </c>
      <c r="H36" s="121">
        <f t="shared" si="6"/>
        <v>0.87478400134867451</v>
      </c>
      <c r="I36" s="120">
        <v>44590</v>
      </c>
      <c r="J36" s="121">
        <f t="shared" si="6"/>
        <v>2.4054133039588255E-3</v>
      </c>
      <c r="K36" s="120">
        <v>47095</v>
      </c>
      <c r="L36" s="121">
        <f t="shared" si="6"/>
        <v>5.6178515362188763E-2</v>
      </c>
      <c r="M36" s="120">
        <v>48568</v>
      </c>
      <c r="N36" s="121">
        <f t="shared" si="7"/>
        <v>3.1277205648158057E-2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62543</v>
      </c>
      <c r="F37" s="121" t="str">
        <f t="shared" si="6"/>
        <v>-</v>
      </c>
      <c r="G37" s="120">
        <v>72292</v>
      </c>
      <c r="H37" s="121">
        <f t="shared" si="6"/>
        <v>0.15587675679132751</v>
      </c>
      <c r="I37" s="120">
        <v>67410</v>
      </c>
      <c r="J37" s="121">
        <f t="shared" si="6"/>
        <v>-6.7531677087367847E-2</v>
      </c>
      <c r="K37" s="120">
        <v>72329</v>
      </c>
      <c r="L37" s="121">
        <f t="shared" si="6"/>
        <v>7.2971369233051586E-2</v>
      </c>
      <c r="M37" s="120">
        <v>73349</v>
      </c>
      <c r="N37" s="121">
        <f t="shared" si="7"/>
        <v>1.4102227322374095E-2</v>
      </c>
    </row>
    <row r="38" spans="2:15" x14ac:dyDescent="0.25">
      <c r="B38" s="119" t="s">
        <v>88</v>
      </c>
      <c r="C38" s="120">
        <v>60743</v>
      </c>
      <c r="D38" s="121">
        <v>-0.44106334425264093</v>
      </c>
      <c r="E38" s="120">
        <v>68184</v>
      </c>
      <c r="F38" s="121">
        <f t="shared" si="6"/>
        <v>0.12249971190095987</v>
      </c>
      <c r="G38" s="120">
        <v>87149</v>
      </c>
      <c r="H38" s="121">
        <f t="shared" si="6"/>
        <v>0.27814443271148659</v>
      </c>
      <c r="I38" s="120">
        <v>132200</v>
      </c>
      <c r="J38" s="121">
        <f t="shared" si="6"/>
        <v>0.51694224833331415</v>
      </c>
      <c r="K38" s="120">
        <v>90782</v>
      </c>
      <c r="L38" s="121">
        <f t="shared" si="6"/>
        <v>-0.31329803328290473</v>
      </c>
      <c r="M38" s="120">
        <v>85490</v>
      </c>
      <c r="N38" s="121">
        <f t="shared" si="7"/>
        <v>-5.8293494305038496E-2</v>
      </c>
    </row>
    <row r="39" spans="2:15" x14ac:dyDescent="0.25">
      <c r="B39" s="119" t="s">
        <v>90</v>
      </c>
      <c r="C39" s="120">
        <v>30758</v>
      </c>
      <c r="D39" s="121">
        <v>-0.31096126705347338</v>
      </c>
      <c r="E39" s="120">
        <v>42507</v>
      </c>
      <c r="F39" s="121">
        <f t="shared" si="6"/>
        <v>0.38198192340204185</v>
      </c>
      <c r="G39" s="120">
        <v>45509</v>
      </c>
      <c r="H39" s="121">
        <f t="shared" si="6"/>
        <v>7.0623661985084851E-2</v>
      </c>
      <c r="I39" s="120">
        <v>54675</v>
      </c>
      <c r="J39" s="121">
        <f t="shared" si="6"/>
        <v>0.20141070996945665</v>
      </c>
      <c r="K39" s="120">
        <v>51020</v>
      </c>
      <c r="L39" s="121">
        <f t="shared" si="6"/>
        <v>-6.6849565614997664E-2</v>
      </c>
      <c r="M39" s="120">
        <v>57217</v>
      </c>
      <c r="N39" s="121">
        <f t="shared" si="7"/>
        <v>0.12146217169737361</v>
      </c>
    </row>
    <row r="40" spans="2:15" x14ac:dyDescent="0.25">
      <c r="B40" s="119" t="s">
        <v>92</v>
      </c>
      <c r="C40" s="120">
        <v>28673</v>
      </c>
      <c r="D40" s="121">
        <v>-0.43128309895471761</v>
      </c>
      <c r="E40" s="120">
        <v>36401</v>
      </c>
      <c r="F40" s="121">
        <f t="shared" si="6"/>
        <v>0.26952184982387606</v>
      </c>
      <c r="G40" s="120">
        <v>38548</v>
      </c>
      <c r="H40" s="121">
        <f t="shared" si="6"/>
        <v>5.8981896101755416E-2</v>
      </c>
      <c r="I40" s="120">
        <v>44421</v>
      </c>
      <c r="J40" s="121">
        <f t="shared" si="6"/>
        <v>0.15235550482515303</v>
      </c>
      <c r="K40" s="120">
        <v>43620</v>
      </c>
      <c r="L40" s="121">
        <f t="shared" si="6"/>
        <v>-1.8032011886270016E-2</v>
      </c>
      <c r="M40" s="120">
        <v>48318</v>
      </c>
      <c r="N40" s="121">
        <f t="shared" si="7"/>
        <v>0.10770288858321875</v>
      </c>
    </row>
    <row r="41" spans="2:15" x14ac:dyDescent="0.25">
      <c r="B41" s="119" t="s">
        <v>94</v>
      </c>
      <c r="C41" s="120">
        <v>10757</v>
      </c>
      <c r="D41" s="121">
        <v>-0.7234277780634546</v>
      </c>
      <c r="E41" s="120">
        <v>27872</v>
      </c>
      <c r="F41" s="121">
        <f t="shared" si="6"/>
        <v>1.5910569861485544</v>
      </c>
      <c r="G41" s="120">
        <v>30570</v>
      </c>
      <c r="H41" s="121">
        <f t="shared" si="6"/>
        <v>9.6799655568312382E-2</v>
      </c>
      <c r="I41" s="120">
        <v>36335</v>
      </c>
      <c r="J41" s="121">
        <f t="shared" si="6"/>
        <v>0.18858357867190056</v>
      </c>
      <c r="K41" s="120">
        <v>27880</v>
      </c>
      <c r="L41" s="121">
        <f t="shared" si="6"/>
        <v>-0.23269574790147241</v>
      </c>
      <c r="M41" s="120">
        <v>37623</v>
      </c>
      <c r="N41" s="121">
        <f t="shared" si="7"/>
        <v>0.3494619799139167</v>
      </c>
    </row>
    <row r="42" spans="2:15" x14ac:dyDescent="0.25">
      <c r="B42" s="119" t="s">
        <v>96</v>
      </c>
      <c r="C42" s="120">
        <v>8464</v>
      </c>
      <c r="D42" s="121">
        <v>-0.78860610904368245</v>
      </c>
      <c r="E42" s="120">
        <v>32687</v>
      </c>
      <c r="F42" s="121">
        <f t="shared" si="6"/>
        <v>2.8618856332703215</v>
      </c>
      <c r="G42" s="120">
        <v>36689</v>
      </c>
      <c r="H42" s="121">
        <f t="shared" si="6"/>
        <v>0.12243399516627407</v>
      </c>
      <c r="I42" s="120">
        <v>45648</v>
      </c>
      <c r="J42" s="121">
        <f t="shared" si="6"/>
        <v>0.24418763117010545</v>
      </c>
      <c r="K42" s="120">
        <v>41448</v>
      </c>
      <c r="L42" s="121">
        <f t="shared" si="6"/>
        <v>-9.2008412197686629E-2</v>
      </c>
      <c r="M42" s="120">
        <v>40323</v>
      </c>
      <c r="N42" s="121">
        <f t="shared" si="7"/>
        <v>-2.7142443543717421E-2</v>
      </c>
    </row>
    <row r="43" spans="2:15" ht="15.75" x14ac:dyDescent="0.25">
      <c r="B43" s="122" t="s">
        <v>33</v>
      </c>
      <c r="C43" s="123">
        <v>241430</v>
      </c>
      <c r="D43" s="124">
        <v>-0.60713065269392863</v>
      </c>
      <c r="E43" s="123">
        <v>350874</v>
      </c>
      <c r="F43" s="124">
        <f t="shared" si="6"/>
        <v>0.45331566085407782</v>
      </c>
      <c r="G43" s="123">
        <v>513218</v>
      </c>
      <c r="H43" s="124">
        <f t="shared" si="6"/>
        <v>0.4626846104299549</v>
      </c>
      <c r="I43" s="123">
        <v>578106</v>
      </c>
      <c r="J43" s="124">
        <f t="shared" si="6"/>
        <v>0.1264336013156202</v>
      </c>
      <c r="K43" s="123">
        <v>549885</v>
      </c>
      <c r="L43" s="124">
        <f t="shared" si="6"/>
        <v>-4.8816307044036944E-2</v>
      </c>
      <c r="M43" s="123">
        <v>574109</v>
      </c>
      <c r="N43" s="124">
        <v>4.40528474135502E-2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  <c r="K46" s="125"/>
      <c r="N46" s="81"/>
    </row>
    <row r="48" spans="2:15" ht="48.75" customHeight="1" thickBot="1" x14ac:dyDescent="0.3">
      <c r="B48" s="283" t="s">
        <v>284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$C$7</f>
        <v>2020</v>
      </c>
      <c r="D51" s="308"/>
      <c r="E51" s="309">
        <f>$E$7</f>
        <v>2021</v>
      </c>
      <c r="F51" s="308"/>
      <c r="G51" s="309">
        <f>$G$7</f>
        <v>2022</v>
      </c>
      <c r="H51" s="308"/>
      <c r="I51" s="309">
        <f>$I$7</f>
        <v>2023</v>
      </c>
      <c r="J51" s="308"/>
      <c r="K51" s="309">
        <f>$K$7</f>
        <v>2024</v>
      </c>
      <c r="L51" s="308"/>
      <c r="M51" s="309">
        <f>$M$7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CONCATENATE("var. ",RIGHT(C51,2),"/",RIGHT(C51-1,2))</f>
        <v>var. 20/19</v>
      </c>
      <c r="E52" s="118" t="s">
        <v>72</v>
      </c>
      <c r="F52" s="117" t="s">
        <v>254</v>
      </c>
      <c r="G52" s="118" t="s">
        <v>72</v>
      </c>
      <c r="H52" s="117" t="s">
        <v>254</v>
      </c>
      <c r="I52" s="118" t="s">
        <v>72</v>
      </c>
      <c r="J52" s="117" t="s">
        <v>254</v>
      </c>
      <c r="K52" s="118" t="s">
        <v>72</v>
      </c>
      <c r="L52" s="117" t="s">
        <v>254</v>
      </c>
      <c r="M52" s="118" t="s">
        <v>72</v>
      </c>
      <c r="N52" s="117" t="s">
        <v>283</v>
      </c>
    </row>
    <row r="53" spans="1:15" x14ac:dyDescent="0.25">
      <c r="A53" s="1">
        <v>1</v>
      </c>
      <c r="B53" s="119" t="s">
        <v>74</v>
      </c>
      <c r="C53" s="120">
        <v>23617</v>
      </c>
      <c r="D53" s="121">
        <v>-2.8026998106840062E-2</v>
      </c>
      <c r="E53" s="120">
        <v>1838</v>
      </c>
      <c r="F53" s="121">
        <f>IFERROR(E53/C53-1,"-")</f>
        <v>-0.92217470466189611</v>
      </c>
      <c r="G53" s="120">
        <v>16394</v>
      </c>
      <c r="H53" s="121">
        <f>IFERROR(G53/E53-1,"-")</f>
        <v>7.9194776931447226</v>
      </c>
      <c r="I53" s="120">
        <v>25146</v>
      </c>
      <c r="J53" s="121">
        <f>IFERROR(I53/G53-1,"-")</f>
        <v>0.53385384896913513</v>
      </c>
      <c r="K53" s="120">
        <v>18584</v>
      </c>
      <c r="L53" s="121">
        <f>IFERROR(K53/I53-1,"-")</f>
        <v>-0.26095601686152869</v>
      </c>
      <c r="M53" s="120">
        <v>21537</v>
      </c>
      <c r="N53" s="121">
        <f t="shared" ref="N53:N64" si="8">IFERROR(M53/K53-1,"-")</f>
        <v>0.15890012914334917</v>
      </c>
    </row>
    <row r="54" spans="1:15" x14ac:dyDescent="0.25">
      <c r="A54" s="1">
        <v>2</v>
      </c>
      <c r="B54" s="119" t="s">
        <v>76</v>
      </c>
      <c r="C54" s="120">
        <v>21412</v>
      </c>
      <c r="D54" s="121">
        <v>-0.12109022247762913</v>
      </c>
      <c r="E54" s="120">
        <v>3018</v>
      </c>
      <c r="F54" s="121">
        <f t="shared" ref="F54:L65" si="9">IFERROR(E54/C54-1,"-")</f>
        <v>-0.85905099943956653</v>
      </c>
      <c r="G54" s="120">
        <v>16294</v>
      </c>
      <c r="H54" s="121">
        <f t="shared" si="9"/>
        <v>4.3989396951623592</v>
      </c>
      <c r="I54" s="120">
        <v>16027</v>
      </c>
      <c r="J54" s="121">
        <f t="shared" si="9"/>
        <v>-1.6386399901804349E-2</v>
      </c>
      <c r="K54" s="120">
        <v>16643</v>
      </c>
      <c r="L54" s="121">
        <f t="shared" si="9"/>
        <v>3.8435140700068704E-2</v>
      </c>
      <c r="M54" s="120">
        <v>19156</v>
      </c>
      <c r="N54" s="121">
        <f t="shared" si="8"/>
        <v>0.15099441206513253</v>
      </c>
    </row>
    <row r="55" spans="1:15" x14ac:dyDescent="0.25">
      <c r="A55" s="1">
        <v>3</v>
      </c>
      <c r="B55" s="119" t="s">
        <v>78</v>
      </c>
      <c r="C55" s="120">
        <v>7343</v>
      </c>
      <c r="D55" s="121">
        <v>-0.65350132125330318</v>
      </c>
      <c r="E55" s="120">
        <v>4318</v>
      </c>
      <c r="F55" s="121">
        <f t="shared" si="9"/>
        <v>-0.41195696581778563</v>
      </c>
      <c r="G55" s="120">
        <v>18322</v>
      </c>
      <c r="H55" s="121">
        <f t="shared" si="9"/>
        <v>3.2431681333950904</v>
      </c>
      <c r="I55" s="120">
        <v>18063</v>
      </c>
      <c r="J55" s="121">
        <f t="shared" si="9"/>
        <v>-1.4136011352472444E-2</v>
      </c>
      <c r="K55" s="120">
        <v>20604</v>
      </c>
      <c r="L55" s="121">
        <f t="shared" si="9"/>
        <v>0.14067430659358915</v>
      </c>
      <c r="M55" s="120">
        <v>18642</v>
      </c>
      <c r="N55" s="121">
        <f t="shared" si="8"/>
        <v>-9.5224228305183511E-2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3687</v>
      </c>
      <c r="F56" s="121" t="str">
        <f t="shared" si="9"/>
        <v>-</v>
      </c>
      <c r="G56" s="120">
        <v>33602</v>
      </c>
      <c r="H56" s="121">
        <f t="shared" si="9"/>
        <v>8.1136425278003799</v>
      </c>
      <c r="I56" s="120">
        <v>31153</v>
      </c>
      <c r="J56" s="121">
        <f t="shared" si="9"/>
        <v>-7.2882566513898017E-2</v>
      </c>
      <c r="K56" s="120">
        <v>18824</v>
      </c>
      <c r="L56" s="121">
        <f t="shared" si="9"/>
        <v>-0.3957564279523641</v>
      </c>
      <c r="M56" s="120">
        <v>29526</v>
      </c>
      <c r="N56" s="121">
        <f t="shared" si="8"/>
        <v>0.56852953676158102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5269</v>
      </c>
      <c r="F57" s="121" t="str">
        <f t="shared" si="9"/>
        <v>-</v>
      </c>
      <c r="G57" s="120">
        <v>21960</v>
      </c>
      <c r="H57" s="121">
        <f t="shared" si="9"/>
        <v>3.1677737711140637</v>
      </c>
      <c r="I57" s="120">
        <v>18994</v>
      </c>
      <c r="J57" s="121">
        <f t="shared" si="9"/>
        <v>-0.13506375227686707</v>
      </c>
      <c r="K57" s="120">
        <v>22446</v>
      </c>
      <c r="L57" s="121">
        <f t="shared" si="9"/>
        <v>0.18174160261135097</v>
      </c>
      <c r="M57" s="120">
        <v>26725</v>
      </c>
      <c r="N57" s="121">
        <f t="shared" si="8"/>
        <v>0.1906353025037868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12085</v>
      </c>
      <c r="F58" s="121" t="str">
        <f t="shared" si="9"/>
        <v>-</v>
      </c>
      <c r="G58" s="120">
        <v>29605</v>
      </c>
      <c r="H58" s="121">
        <f t="shared" si="9"/>
        <v>1.4497310715763345</v>
      </c>
      <c r="I58" s="120">
        <v>26276</v>
      </c>
      <c r="J58" s="121">
        <f t="shared" si="9"/>
        <v>-0.1124472217530823</v>
      </c>
      <c r="K58" s="120">
        <v>24937</v>
      </c>
      <c r="L58" s="121">
        <f t="shared" si="9"/>
        <v>-5.0959050083726587E-2</v>
      </c>
      <c r="M58" s="120">
        <v>29537</v>
      </c>
      <c r="N58" s="121">
        <f t="shared" si="8"/>
        <v>0.18446485142559244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34781</v>
      </c>
      <c r="F59" s="121" t="str">
        <f t="shared" si="9"/>
        <v>-</v>
      </c>
      <c r="G59" s="120">
        <v>45742</v>
      </c>
      <c r="H59" s="121">
        <f t="shared" si="9"/>
        <v>0.31514332537879874</v>
      </c>
      <c r="I59" s="120">
        <v>36034</v>
      </c>
      <c r="J59" s="121">
        <f t="shared" si="9"/>
        <v>-0.21223383323859912</v>
      </c>
      <c r="K59" s="120">
        <v>39454</v>
      </c>
      <c r="L59" s="121">
        <f t="shared" si="9"/>
        <v>9.491036243547768E-2</v>
      </c>
      <c r="M59" s="120">
        <v>42725</v>
      </c>
      <c r="N59" s="121">
        <f t="shared" si="8"/>
        <v>8.2906676129163026E-2</v>
      </c>
    </row>
    <row r="60" spans="1:15" x14ac:dyDescent="0.25">
      <c r="A60" s="1">
        <v>8</v>
      </c>
      <c r="B60" s="119" t="s">
        <v>88</v>
      </c>
      <c r="C60" s="120">
        <v>38101</v>
      </c>
      <c r="D60" s="121">
        <v>-0.41627344037259473</v>
      </c>
      <c r="E60" s="120">
        <v>50516</v>
      </c>
      <c r="F60" s="121">
        <f t="shared" si="9"/>
        <v>0.32584446602451389</v>
      </c>
      <c r="G60" s="120">
        <v>58778</v>
      </c>
      <c r="H60" s="121">
        <f t="shared" si="9"/>
        <v>0.16355214189563694</v>
      </c>
      <c r="I60" s="120">
        <v>83159</v>
      </c>
      <c r="J60" s="121">
        <f t="shared" si="9"/>
        <v>0.41479805369355871</v>
      </c>
      <c r="K60" s="120">
        <v>50144</v>
      </c>
      <c r="L60" s="121">
        <f t="shared" si="9"/>
        <v>-0.39701054606236241</v>
      </c>
      <c r="M60" s="120">
        <v>52238</v>
      </c>
      <c r="N60" s="121">
        <f t="shared" si="8"/>
        <v>4.1759731971920955E-2</v>
      </c>
    </row>
    <row r="61" spans="1:15" x14ac:dyDescent="0.25">
      <c r="A61" s="1">
        <v>9</v>
      </c>
      <c r="B61" s="119" t="s">
        <v>90</v>
      </c>
      <c r="C61" s="120">
        <v>17630</v>
      </c>
      <c r="D61" s="121">
        <v>-0.50712887894883973</v>
      </c>
      <c r="E61" s="120">
        <v>34341</v>
      </c>
      <c r="F61" s="121">
        <f t="shared" si="9"/>
        <v>0.94787294384571763</v>
      </c>
      <c r="G61" s="120">
        <v>34328</v>
      </c>
      <c r="H61" s="121">
        <f t="shared" si="9"/>
        <v>-3.7855624472205029E-4</v>
      </c>
      <c r="I61" s="120">
        <v>27840</v>
      </c>
      <c r="J61" s="121">
        <f t="shared" si="9"/>
        <v>-0.18900023304591007</v>
      </c>
      <c r="K61" s="120">
        <v>29348</v>
      </c>
      <c r="L61" s="121">
        <f t="shared" si="9"/>
        <v>5.4166666666666696E-2</v>
      </c>
      <c r="M61" s="120">
        <v>34263</v>
      </c>
      <c r="N61" s="121">
        <f t="shared" si="8"/>
        <v>0.16747308164099772</v>
      </c>
    </row>
    <row r="62" spans="1:15" x14ac:dyDescent="0.25">
      <c r="A62" s="1">
        <v>10</v>
      </c>
      <c r="B62" s="119" t="s">
        <v>92</v>
      </c>
      <c r="C62" s="120">
        <v>16572</v>
      </c>
      <c r="D62" s="121">
        <v>-0.50722569134701168</v>
      </c>
      <c r="E62" s="120">
        <v>24758</v>
      </c>
      <c r="F62" s="121">
        <f t="shared" si="9"/>
        <v>0.49396572531981664</v>
      </c>
      <c r="G62" s="120">
        <v>28657</v>
      </c>
      <c r="H62" s="121">
        <f t="shared" si="9"/>
        <v>0.15748444947087803</v>
      </c>
      <c r="I62" s="120">
        <v>24146</v>
      </c>
      <c r="J62" s="121">
        <f t="shared" si="9"/>
        <v>-0.15741354642844685</v>
      </c>
      <c r="K62" s="120">
        <v>26632</v>
      </c>
      <c r="L62" s="121">
        <f t="shared" si="9"/>
        <v>0.10295701151329406</v>
      </c>
      <c r="M62" s="120">
        <v>30433</v>
      </c>
      <c r="N62" s="121">
        <f t="shared" si="8"/>
        <v>0.14272303995193747</v>
      </c>
    </row>
    <row r="63" spans="1:15" x14ac:dyDescent="0.25">
      <c r="A63" s="1">
        <v>11</v>
      </c>
      <c r="B63" s="119" t="s">
        <v>94</v>
      </c>
      <c r="C63" s="120">
        <v>5230</v>
      </c>
      <c r="D63" s="121">
        <v>-0.8050980099873295</v>
      </c>
      <c r="E63" s="120">
        <v>20985</v>
      </c>
      <c r="F63" s="121">
        <f t="shared" si="9"/>
        <v>3.0124282982791586</v>
      </c>
      <c r="G63" s="120">
        <v>24068</v>
      </c>
      <c r="H63" s="121">
        <f t="shared" si="9"/>
        <v>0.14691446271146047</v>
      </c>
      <c r="I63" s="120">
        <v>20317</v>
      </c>
      <c r="J63" s="121">
        <f t="shared" si="9"/>
        <v>-0.15585009140767825</v>
      </c>
      <c r="K63" s="120">
        <v>20242</v>
      </c>
      <c r="L63" s="121">
        <f t="shared" si="9"/>
        <v>-3.6914898853177558E-3</v>
      </c>
      <c r="M63" s="120">
        <v>23771</v>
      </c>
      <c r="N63" s="121">
        <f t="shared" si="8"/>
        <v>0.17434048018970461</v>
      </c>
    </row>
    <row r="64" spans="1:15" x14ac:dyDescent="0.25">
      <c r="A64" s="1">
        <v>12</v>
      </c>
      <c r="B64" s="119" t="s">
        <v>96</v>
      </c>
      <c r="C64" s="120">
        <v>4774</v>
      </c>
      <c r="D64" s="121">
        <v>-0.82489730046948351</v>
      </c>
      <c r="E64" s="120">
        <v>24212</v>
      </c>
      <c r="F64" s="121">
        <f t="shared" si="9"/>
        <v>4.0716380393799749</v>
      </c>
      <c r="G64" s="120">
        <v>30360</v>
      </c>
      <c r="H64" s="121">
        <f t="shared" si="9"/>
        <v>0.25392367421113504</v>
      </c>
      <c r="I64" s="120">
        <v>31159</v>
      </c>
      <c r="J64" s="121">
        <f t="shared" si="9"/>
        <v>2.6317523056653469E-2</v>
      </c>
      <c r="K64" s="120">
        <v>24796</v>
      </c>
      <c r="L64" s="121">
        <f t="shared" si="9"/>
        <v>-0.20421066144613109</v>
      </c>
      <c r="M64" s="120">
        <v>23905</v>
      </c>
      <c r="N64" s="121">
        <f t="shared" si="8"/>
        <v>-3.5933215034683053E-2</v>
      </c>
    </row>
    <row r="65" spans="1:15" ht="15.75" x14ac:dyDescent="0.25">
      <c r="B65" s="122" t="s">
        <v>33</v>
      </c>
      <c r="C65" s="123">
        <v>148896</v>
      </c>
      <c r="D65" s="124">
        <v>-0.63143368474728145</v>
      </c>
      <c r="E65" s="123">
        <v>219808</v>
      </c>
      <c r="F65" s="124">
        <f t="shared" si="9"/>
        <v>0.47625188050719958</v>
      </c>
      <c r="G65" s="123">
        <v>358110</v>
      </c>
      <c r="H65" s="124">
        <f t="shared" si="9"/>
        <v>0.62919456980637656</v>
      </c>
      <c r="I65" s="123">
        <v>358314</v>
      </c>
      <c r="J65" s="124">
        <f t="shared" si="9"/>
        <v>5.6965736784797549E-4</v>
      </c>
      <c r="K65" s="123">
        <v>312654</v>
      </c>
      <c r="L65" s="124">
        <f t="shared" si="9"/>
        <v>-0.12743013111405077</v>
      </c>
      <c r="M65" s="123">
        <v>352458</v>
      </c>
      <c r="N65" s="124">
        <v>0.12731006160164271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  <c r="K68" s="125"/>
      <c r="N68" s="81"/>
    </row>
    <row r="70" spans="1:15" ht="48.75" customHeight="1" thickBot="1" x14ac:dyDescent="0.3">
      <c r="B70" s="283" t="s">
        <v>285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$C$7</f>
        <v>2020</v>
      </c>
      <c r="D73" s="308"/>
      <c r="E73" s="309">
        <f>$E$7</f>
        <v>2021</v>
      </c>
      <c r="F73" s="308"/>
      <c r="G73" s="309">
        <f>$G$7</f>
        <v>2022</v>
      </c>
      <c r="H73" s="308"/>
      <c r="I73" s="309">
        <f>$I$7</f>
        <v>2023</v>
      </c>
      <c r="J73" s="308"/>
      <c r="K73" s="309">
        <f>$K$7</f>
        <v>2024</v>
      </c>
      <c r="L73" s="308"/>
      <c r="M73" s="309">
        <f>$M$7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CONCATENATE("var. ",RIGHT(C73,2),"/",RIGHT(C73-1,2))</f>
        <v>var. 20/19</v>
      </c>
      <c r="E74" s="118" t="s">
        <v>72</v>
      </c>
      <c r="F74" s="117" t="s">
        <v>254</v>
      </c>
      <c r="G74" s="118" t="s">
        <v>72</v>
      </c>
      <c r="H74" s="117" t="s">
        <v>254</v>
      </c>
      <c r="I74" s="118" t="s">
        <v>72</v>
      </c>
      <c r="J74" s="117" t="s">
        <v>254</v>
      </c>
      <c r="K74" s="118" t="s">
        <v>72</v>
      </c>
      <c r="L74" s="117" t="s">
        <v>254</v>
      </c>
      <c r="M74" s="118" t="s">
        <v>72</v>
      </c>
      <c r="N74" s="117" t="s">
        <v>283</v>
      </c>
    </row>
    <row r="75" spans="1:15" x14ac:dyDescent="0.25">
      <c r="A75" s="1">
        <v>1</v>
      </c>
      <c r="B75" s="119" t="s">
        <v>74</v>
      </c>
      <c r="C75" s="120">
        <v>14054</v>
      </c>
      <c r="D75" s="121">
        <v>1.9206151288445552</v>
      </c>
      <c r="E75" s="120">
        <v>3729</v>
      </c>
      <c r="F75" s="121">
        <f>IFERROR(E75/C75-1,"-")</f>
        <v>-0.73466628717802762</v>
      </c>
      <c r="G75" s="120">
        <v>6656</v>
      </c>
      <c r="H75" s="121">
        <f>IFERROR(G75/E75-1,"-")</f>
        <v>0.78492893537141328</v>
      </c>
      <c r="I75" s="120">
        <v>6602</v>
      </c>
      <c r="J75" s="121">
        <f>IFERROR(I75/G75-1,"-")</f>
        <v>-8.1129807692307265E-3</v>
      </c>
      <c r="K75" s="120">
        <v>11927</v>
      </c>
      <c r="L75" s="121">
        <f>IFERROR(K75/I75-1,"-")</f>
        <v>0.80657376552559823</v>
      </c>
      <c r="M75" s="120">
        <v>12513</v>
      </c>
      <c r="N75" s="121">
        <f t="shared" ref="N75:N86" si="10">IFERROR(M75/K75-1,"-")</f>
        <v>4.9132221011151112E-2</v>
      </c>
    </row>
    <row r="76" spans="1:15" x14ac:dyDescent="0.25">
      <c r="A76" s="1">
        <v>2</v>
      </c>
      <c r="B76" s="119" t="s">
        <v>76</v>
      </c>
      <c r="C76" s="120">
        <v>10029</v>
      </c>
      <c r="D76" s="121">
        <v>-6.1394478240524131E-2</v>
      </c>
      <c r="E76" s="120">
        <v>5015</v>
      </c>
      <c r="F76" s="121">
        <f t="shared" ref="F76:L87" si="11">IFERROR(E76/C76-1,"-")</f>
        <v>-0.49995014458071596</v>
      </c>
      <c r="G76" s="120">
        <v>7479</v>
      </c>
      <c r="H76" s="121">
        <f t="shared" si="11"/>
        <v>0.4913260219341975</v>
      </c>
      <c r="I76" s="120">
        <v>5254</v>
      </c>
      <c r="J76" s="121">
        <f t="shared" si="11"/>
        <v>-0.29749966573071263</v>
      </c>
      <c r="K76" s="120">
        <v>9998</v>
      </c>
      <c r="L76" s="121">
        <f t="shared" si="11"/>
        <v>0.90293110011419864</v>
      </c>
      <c r="M76" s="120">
        <v>11350</v>
      </c>
      <c r="N76" s="121">
        <f t="shared" si="10"/>
        <v>0.13522704540908181</v>
      </c>
    </row>
    <row r="77" spans="1:15" x14ac:dyDescent="0.25">
      <c r="A77" s="1">
        <v>3</v>
      </c>
      <c r="B77" s="119" t="s">
        <v>78</v>
      </c>
      <c r="C77" s="120">
        <v>6638</v>
      </c>
      <c r="D77" s="121">
        <v>-0.49593742881008429</v>
      </c>
      <c r="E77" s="120">
        <v>7597</v>
      </c>
      <c r="F77" s="121">
        <f t="shared" si="11"/>
        <v>0.14447122627297371</v>
      </c>
      <c r="G77" s="120">
        <v>8558</v>
      </c>
      <c r="H77" s="121">
        <f t="shared" si="11"/>
        <v>0.1264973015664077</v>
      </c>
      <c r="I77" s="120">
        <v>6259</v>
      </c>
      <c r="J77" s="121">
        <f t="shared" si="11"/>
        <v>-0.26863753213367614</v>
      </c>
      <c r="K77" s="120">
        <v>18306</v>
      </c>
      <c r="L77" s="121">
        <f t="shared" si="11"/>
        <v>1.924748362358204</v>
      </c>
      <c r="M77" s="120">
        <v>11161</v>
      </c>
      <c r="N77" s="121">
        <f t="shared" si="10"/>
        <v>-0.39030918824429151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11618</v>
      </c>
      <c r="F78" s="121" t="str">
        <f t="shared" si="11"/>
        <v>-</v>
      </c>
      <c r="G78" s="120">
        <v>15080</v>
      </c>
      <c r="H78" s="121">
        <f t="shared" si="11"/>
        <v>0.29798588397314507</v>
      </c>
      <c r="I78" s="120">
        <v>14927</v>
      </c>
      <c r="J78" s="121">
        <f t="shared" si="11"/>
        <v>-1.0145888594164432E-2</v>
      </c>
      <c r="K78" s="120">
        <v>19454</v>
      </c>
      <c r="L78" s="121">
        <f t="shared" si="11"/>
        <v>0.30327594292222138</v>
      </c>
      <c r="M78" s="120">
        <v>24085</v>
      </c>
      <c r="N78" s="121">
        <f t="shared" si="10"/>
        <v>0.2380487303382337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10864</v>
      </c>
      <c r="F79" s="121" t="str">
        <f t="shared" si="11"/>
        <v>-</v>
      </c>
      <c r="G79" s="120">
        <v>13633</v>
      </c>
      <c r="H79" s="121">
        <f t="shared" si="11"/>
        <v>0.25487849779086891</v>
      </c>
      <c r="I79" s="120">
        <v>10402</v>
      </c>
      <c r="J79" s="121">
        <f t="shared" si="11"/>
        <v>-0.23699845962003963</v>
      </c>
      <c r="K79" s="120">
        <v>18925</v>
      </c>
      <c r="L79" s="121">
        <f t="shared" si="11"/>
        <v>0.81936166121899645</v>
      </c>
      <c r="M79" s="120">
        <v>8526</v>
      </c>
      <c r="N79" s="121">
        <f t="shared" si="10"/>
        <v>-0.54948480845442538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11642</v>
      </c>
      <c r="F80" s="121" t="str">
        <f t="shared" si="11"/>
        <v>-</v>
      </c>
      <c r="G80" s="120">
        <v>14878</v>
      </c>
      <c r="H80" s="121">
        <f t="shared" si="11"/>
        <v>0.27795911355437219</v>
      </c>
      <c r="I80" s="120">
        <v>18314</v>
      </c>
      <c r="J80" s="121">
        <f t="shared" si="11"/>
        <v>0.23094501949186719</v>
      </c>
      <c r="K80" s="120">
        <v>22158</v>
      </c>
      <c r="L80" s="121">
        <f t="shared" si="11"/>
        <v>0.20989407011029804</v>
      </c>
      <c r="M80" s="120">
        <v>19031</v>
      </c>
      <c r="N80" s="121">
        <f t="shared" si="10"/>
        <v>-0.14112284502211392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27762</v>
      </c>
      <c r="F81" s="121" t="str">
        <f t="shared" si="11"/>
        <v>-</v>
      </c>
      <c r="G81" s="120">
        <v>26550</v>
      </c>
      <c r="H81" s="121">
        <f t="shared" si="11"/>
        <v>-4.3656797060730446E-2</v>
      </c>
      <c r="I81" s="120">
        <v>31376</v>
      </c>
      <c r="J81" s="121">
        <f t="shared" si="11"/>
        <v>0.18177024482109227</v>
      </c>
      <c r="K81" s="120">
        <v>32875</v>
      </c>
      <c r="L81" s="121">
        <f t="shared" si="11"/>
        <v>4.7775369709331938E-2</v>
      </c>
      <c r="M81" s="120">
        <v>30624</v>
      </c>
      <c r="N81" s="121">
        <f t="shared" si="10"/>
        <v>-6.8471482889733815E-2</v>
      </c>
    </row>
    <row r="82" spans="1:15" x14ac:dyDescent="0.25">
      <c r="A82" s="1">
        <v>8</v>
      </c>
      <c r="B82" s="119" t="s">
        <v>88</v>
      </c>
      <c r="C82" s="120">
        <v>22642</v>
      </c>
      <c r="D82" s="121">
        <v>-0.47834300986084233</v>
      </c>
      <c r="E82" s="120">
        <v>17668</v>
      </c>
      <c r="F82" s="121">
        <f t="shared" si="11"/>
        <v>-0.21968024026146105</v>
      </c>
      <c r="G82" s="120">
        <v>28371</v>
      </c>
      <c r="H82" s="121">
        <f t="shared" si="11"/>
        <v>0.60578446909667205</v>
      </c>
      <c r="I82" s="120">
        <v>49041</v>
      </c>
      <c r="J82" s="121">
        <f t="shared" si="11"/>
        <v>0.72856085439357088</v>
      </c>
      <c r="K82" s="120">
        <v>40638</v>
      </c>
      <c r="L82" s="121">
        <f t="shared" si="11"/>
        <v>-0.17134642442038295</v>
      </c>
      <c r="M82" s="120">
        <v>33252</v>
      </c>
      <c r="N82" s="121">
        <f t="shared" si="10"/>
        <v>-0.18175107042669425</v>
      </c>
    </row>
    <row r="83" spans="1:15" x14ac:dyDescent="0.25">
      <c r="A83" s="1">
        <v>9</v>
      </c>
      <c r="B83" s="119" t="s">
        <v>90</v>
      </c>
      <c r="C83" s="120">
        <v>13128</v>
      </c>
      <c r="D83" s="121">
        <v>0.48021197429247953</v>
      </c>
      <c r="E83" s="120">
        <v>8166</v>
      </c>
      <c r="F83" s="121">
        <f t="shared" si="11"/>
        <v>-0.37797074954296161</v>
      </c>
      <c r="G83" s="120">
        <v>11181</v>
      </c>
      <c r="H83" s="121">
        <f t="shared" si="11"/>
        <v>0.36921381337252024</v>
      </c>
      <c r="I83" s="120">
        <v>26835</v>
      </c>
      <c r="J83" s="121">
        <f t="shared" si="11"/>
        <v>1.4000536624631073</v>
      </c>
      <c r="K83" s="120">
        <v>21672</v>
      </c>
      <c r="L83" s="121">
        <f t="shared" si="11"/>
        <v>-0.19239798770262717</v>
      </c>
      <c r="M83" s="120">
        <v>22954</v>
      </c>
      <c r="N83" s="121">
        <f t="shared" si="10"/>
        <v>5.9154669619785993E-2</v>
      </c>
    </row>
    <row r="84" spans="1:15" x14ac:dyDescent="0.25">
      <c r="A84" s="1">
        <v>10</v>
      </c>
      <c r="B84" s="119" t="s">
        <v>92</v>
      </c>
      <c r="C84" s="120">
        <v>12101</v>
      </c>
      <c r="D84" s="121">
        <v>-0.27914457616012389</v>
      </c>
      <c r="E84" s="120">
        <v>11643</v>
      </c>
      <c r="F84" s="121">
        <f t="shared" si="11"/>
        <v>-3.7848111726303646E-2</v>
      </c>
      <c r="G84" s="120">
        <v>9891</v>
      </c>
      <c r="H84" s="121">
        <f t="shared" si="11"/>
        <v>-0.15047668126771452</v>
      </c>
      <c r="I84" s="120">
        <v>20275</v>
      </c>
      <c r="J84" s="121">
        <f t="shared" si="11"/>
        <v>1.0498432918815084</v>
      </c>
      <c r="K84" s="120">
        <v>16988</v>
      </c>
      <c r="L84" s="121">
        <f t="shared" si="11"/>
        <v>-0.16212083847102343</v>
      </c>
      <c r="M84" s="120">
        <v>17885</v>
      </c>
      <c r="N84" s="121">
        <f t="shared" si="10"/>
        <v>5.2801977866729466E-2</v>
      </c>
    </row>
    <row r="85" spans="1:15" x14ac:dyDescent="0.25">
      <c r="A85" s="1">
        <v>11</v>
      </c>
      <c r="B85" s="119" t="s">
        <v>94</v>
      </c>
      <c r="C85" s="120">
        <v>5527</v>
      </c>
      <c r="D85" s="121">
        <v>-0.54170812603648422</v>
      </c>
      <c r="E85" s="120">
        <v>6887</v>
      </c>
      <c r="F85" s="121">
        <f t="shared" si="11"/>
        <v>0.24606477293287488</v>
      </c>
      <c r="G85" s="120">
        <v>6502</v>
      </c>
      <c r="H85" s="121">
        <f t="shared" si="11"/>
        <v>-5.590242485842889E-2</v>
      </c>
      <c r="I85" s="120">
        <v>16018</v>
      </c>
      <c r="J85" s="121">
        <f t="shared" si="11"/>
        <v>1.4635496770224545</v>
      </c>
      <c r="K85" s="120">
        <v>7638</v>
      </c>
      <c r="L85" s="121">
        <f t="shared" si="11"/>
        <v>-0.52316144337620174</v>
      </c>
      <c r="M85" s="120">
        <v>13852</v>
      </c>
      <c r="N85" s="121">
        <f t="shared" si="10"/>
        <v>0.81356376014663523</v>
      </c>
    </row>
    <row r="86" spans="1:15" x14ac:dyDescent="0.25">
      <c r="A86" s="1">
        <v>12</v>
      </c>
      <c r="B86" s="119" t="s">
        <v>96</v>
      </c>
      <c r="C86" s="120">
        <v>3690</v>
      </c>
      <c r="D86" s="121">
        <v>-0.71115459882583165</v>
      </c>
      <c r="E86" s="120">
        <v>8475</v>
      </c>
      <c r="F86" s="121">
        <f t="shared" si="11"/>
        <v>1.2967479674796749</v>
      </c>
      <c r="G86" s="120">
        <v>6329</v>
      </c>
      <c r="H86" s="121">
        <f t="shared" si="11"/>
        <v>-0.25321533923303829</v>
      </c>
      <c r="I86" s="120">
        <v>14489</v>
      </c>
      <c r="J86" s="121">
        <f t="shared" si="11"/>
        <v>1.2893032074577344</v>
      </c>
      <c r="K86" s="120">
        <v>16652</v>
      </c>
      <c r="L86" s="121">
        <f t="shared" si="11"/>
        <v>0.14928566498723161</v>
      </c>
      <c r="M86" s="120">
        <v>16418</v>
      </c>
      <c r="N86" s="121">
        <f t="shared" si="10"/>
        <v>-1.4052366082152323E-2</v>
      </c>
    </row>
    <row r="87" spans="1:15" ht="15.75" x14ac:dyDescent="0.25">
      <c r="B87" s="122" t="s">
        <v>33</v>
      </c>
      <c r="C87" s="123">
        <v>92534</v>
      </c>
      <c r="D87" s="124">
        <v>-0.56049833050730724</v>
      </c>
      <c r="E87" s="123">
        <v>131066</v>
      </c>
      <c r="F87" s="124">
        <f t="shared" si="11"/>
        <v>0.4164091036808093</v>
      </c>
      <c r="G87" s="123">
        <v>155108</v>
      </c>
      <c r="H87" s="124">
        <f t="shared" si="11"/>
        <v>0.18343430027619667</v>
      </c>
      <c r="I87" s="123">
        <v>219792</v>
      </c>
      <c r="J87" s="124">
        <f t="shared" si="11"/>
        <v>0.41702555638651773</v>
      </c>
      <c r="K87" s="123">
        <v>237231</v>
      </c>
      <c r="L87" s="124">
        <f t="shared" si="11"/>
        <v>7.9343197204629901E-2</v>
      </c>
      <c r="M87" s="123">
        <v>221651</v>
      </c>
      <c r="N87" s="124">
        <v>-6.5674384882245529E-2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  <c r="K90" s="125"/>
      <c r="N90" s="81"/>
    </row>
    <row r="92" spans="1:15" ht="48.75" customHeight="1" thickBot="1" x14ac:dyDescent="0.3">
      <c r="B92" s="283" t="s">
        <v>286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$C$7</f>
        <v>2020</v>
      </c>
      <c r="D95" s="308"/>
      <c r="E95" s="309">
        <f>$E$7</f>
        <v>2021</v>
      </c>
      <c r="F95" s="308"/>
      <c r="G95" s="309">
        <f>$G$7</f>
        <v>2022</v>
      </c>
      <c r="H95" s="308"/>
      <c r="I95" s="309">
        <f>$I$7</f>
        <v>2023</v>
      </c>
      <c r="J95" s="308"/>
      <c r="K95" s="309">
        <f>$K$7</f>
        <v>2024</v>
      </c>
      <c r="L95" s="308"/>
      <c r="M95" s="309">
        <f>$M$7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CONCATENATE("var. ",RIGHT(C95,2),"/",RIGHT(C95-1,2))</f>
        <v>var. 20/19</v>
      </c>
      <c r="E96" s="118" t="s">
        <v>72</v>
      </c>
      <c r="F96" s="117" t="s">
        <v>254</v>
      </c>
      <c r="G96" s="118" t="s">
        <v>72</v>
      </c>
      <c r="H96" s="117" t="s">
        <v>254</v>
      </c>
      <c r="I96" s="118" t="s">
        <v>72</v>
      </c>
      <c r="J96" s="117" t="s">
        <v>254</v>
      </c>
      <c r="K96" s="118" t="s">
        <v>72</v>
      </c>
      <c r="L96" s="117" t="s">
        <v>254</v>
      </c>
      <c r="M96" s="118" t="s">
        <v>72</v>
      </c>
      <c r="N96" s="117" t="s">
        <v>283</v>
      </c>
    </row>
    <row r="97" spans="2:14" x14ac:dyDescent="0.25">
      <c r="B97" s="119" t="s">
        <v>74</v>
      </c>
      <c r="C97" s="120">
        <v>856263</v>
      </c>
      <c r="D97" s="121">
        <v>1.1583563508171801E-2</v>
      </c>
      <c r="E97" s="120">
        <v>46100</v>
      </c>
      <c r="F97" s="121">
        <f t="shared" ref="F97:L109" si="12">IFERROR(E97/C97-1,"-")</f>
        <v>-0.94616140134514748</v>
      </c>
      <c r="G97" s="120">
        <v>553411</v>
      </c>
      <c r="H97" s="121">
        <f t="shared" si="12"/>
        <v>11.004577006507592</v>
      </c>
      <c r="I97" s="120">
        <v>778985</v>
      </c>
      <c r="J97" s="121">
        <f t="shared" si="12"/>
        <v>0.40760664316394135</v>
      </c>
      <c r="K97" s="120">
        <v>804587</v>
      </c>
      <c r="L97" s="121">
        <f t="shared" si="12"/>
        <v>3.2865844656829069E-2</v>
      </c>
      <c r="M97" s="120">
        <v>842262</v>
      </c>
      <c r="N97" s="121">
        <f t="shared" ref="N97:N108" si="13">IFERROR(M97/K97-1,"-")</f>
        <v>4.6825265633175794E-2</v>
      </c>
    </row>
    <row r="98" spans="2:14" x14ac:dyDescent="0.25">
      <c r="B98" s="119" t="s">
        <v>76</v>
      </c>
      <c r="C98" s="120">
        <v>800741</v>
      </c>
      <c r="D98" s="121">
        <v>4.1572307328094693E-2</v>
      </c>
      <c r="E98" s="120">
        <v>45834</v>
      </c>
      <c r="F98" s="121">
        <f t="shared" si="12"/>
        <v>-0.9427605180701375</v>
      </c>
      <c r="G98" s="120">
        <v>585204</v>
      </c>
      <c r="H98" s="121">
        <f t="shared" si="12"/>
        <v>11.767901557795524</v>
      </c>
      <c r="I98" s="120">
        <v>752563</v>
      </c>
      <c r="J98" s="121">
        <f t="shared" si="12"/>
        <v>0.28598403291843533</v>
      </c>
      <c r="K98" s="120">
        <v>798120</v>
      </c>
      <c r="L98" s="121">
        <f t="shared" si="12"/>
        <v>6.053579567424916E-2</v>
      </c>
      <c r="M98" s="120">
        <v>781511</v>
      </c>
      <c r="N98" s="121">
        <f t="shared" si="13"/>
        <v>-2.0810153861574698E-2</v>
      </c>
    </row>
    <row r="99" spans="2:14" x14ac:dyDescent="0.25">
      <c r="B99" s="119" t="s">
        <v>78</v>
      </c>
      <c r="C99" s="120">
        <v>367740</v>
      </c>
      <c r="D99" s="121">
        <v>-0.55632663451782161</v>
      </c>
      <c r="E99" s="120">
        <v>61552</v>
      </c>
      <c r="F99" s="121">
        <f t="shared" si="12"/>
        <v>-0.83262087344319358</v>
      </c>
      <c r="G99" s="120">
        <v>721001</v>
      </c>
      <c r="H99" s="121">
        <f t="shared" si="12"/>
        <v>10.713689238367559</v>
      </c>
      <c r="I99" s="120">
        <v>794080</v>
      </c>
      <c r="J99" s="121">
        <f t="shared" si="12"/>
        <v>0.10135769575909048</v>
      </c>
      <c r="K99" s="120">
        <v>827758</v>
      </c>
      <c r="L99" s="121">
        <f t="shared" si="12"/>
        <v>4.2411343945194524E-2</v>
      </c>
      <c r="M99" s="120">
        <v>798871</v>
      </c>
      <c r="N99" s="121">
        <f t="shared" si="13"/>
        <v>-3.489788078158107E-2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55835</v>
      </c>
      <c r="F100" s="121" t="str">
        <f t="shared" si="12"/>
        <v>-</v>
      </c>
      <c r="G100" s="120">
        <v>676545</v>
      </c>
      <c r="H100" s="121">
        <f t="shared" si="12"/>
        <v>11.116862183218412</v>
      </c>
      <c r="I100" s="120">
        <v>699869</v>
      </c>
      <c r="J100" s="121">
        <f t="shared" si="12"/>
        <v>3.4475164253671142E-2</v>
      </c>
      <c r="K100" s="120">
        <v>751517</v>
      </c>
      <c r="L100" s="121">
        <f t="shared" si="12"/>
        <v>7.3796667662091142E-2</v>
      </c>
      <c r="M100" s="120">
        <v>701010</v>
      </c>
      <c r="N100" s="121">
        <f t="shared" si="13"/>
        <v>-6.7206729854414449E-2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55151</v>
      </c>
      <c r="F101" s="121" t="str">
        <f t="shared" si="12"/>
        <v>-</v>
      </c>
      <c r="G101" s="120">
        <v>617668</v>
      </c>
      <c r="H101" s="121">
        <f t="shared" si="12"/>
        <v>10.199579336730068</v>
      </c>
      <c r="I101" s="120">
        <v>641625</v>
      </c>
      <c r="J101" s="121">
        <f t="shared" si="12"/>
        <v>3.8786208772350284E-2</v>
      </c>
      <c r="K101" s="120">
        <v>705456</v>
      </c>
      <c r="L101" s="121">
        <f t="shared" si="12"/>
        <v>9.9483343074225683E-2</v>
      </c>
      <c r="M101" s="120">
        <v>705877</v>
      </c>
      <c r="N101" s="121">
        <f t="shared" si="13"/>
        <v>5.967771200472427E-4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90172</v>
      </c>
      <c r="F102" s="121" t="str">
        <f t="shared" si="12"/>
        <v>-</v>
      </c>
      <c r="G102" s="120">
        <v>628460</v>
      </c>
      <c r="H102" s="121">
        <f t="shared" si="12"/>
        <v>5.9695692676218783</v>
      </c>
      <c r="I102" s="120">
        <v>713434</v>
      </c>
      <c r="J102" s="121">
        <f t="shared" si="12"/>
        <v>0.1352098781147566</v>
      </c>
      <c r="K102" s="120">
        <v>740595</v>
      </c>
      <c r="L102" s="121">
        <f t="shared" si="12"/>
        <v>3.8070795616693243E-2</v>
      </c>
      <c r="M102" s="120">
        <v>760299</v>
      </c>
      <c r="N102" s="121">
        <f t="shared" si="13"/>
        <v>2.6605634658618982E-2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191769</v>
      </c>
      <c r="F103" s="121" t="str">
        <f t="shared" si="12"/>
        <v>-</v>
      </c>
      <c r="G103" s="120">
        <v>785928</v>
      </c>
      <c r="H103" s="121">
        <f t="shared" si="12"/>
        <v>3.0983057741345057</v>
      </c>
      <c r="I103" s="120">
        <v>804909</v>
      </c>
      <c r="J103" s="121">
        <f t="shared" si="12"/>
        <v>2.4151067273338045E-2</v>
      </c>
      <c r="K103" s="120">
        <v>823259</v>
      </c>
      <c r="L103" s="121">
        <f t="shared" si="12"/>
        <v>2.2797608176824857E-2</v>
      </c>
      <c r="M103" s="120">
        <v>858135</v>
      </c>
      <c r="N103" s="121">
        <f t="shared" si="13"/>
        <v>4.2363338876343803E-2</v>
      </c>
    </row>
    <row r="104" spans="2:14" x14ac:dyDescent="0.25">
      <c r="B104" s="119" t="s">
        <v>88</v>
      </c>
      <c r="C104" s="120">
        <v>130458</v>
      </c>
      <c r="D104" s="121">
        <v>-0.84801800605327726</v>
      </c>
      <c r="E104" s="120">
        <v>318588</v>
      </c>
      <c r="F104" s="121">
        <f t="shared" si="12"/>
        <v>1.4420733109506507</v>
      </c>
      <c r="G104" s="120">
        <v>808317</v>
      </c>
      <c r="H104" s="121">
        <f t="shared" si="12"/>
        <v>1.537185958039851</v>
      </c>
      <c r="I104" s="120">
        <v>814997</v>
      </c>
      <c r="J104" s="121">
        <f t="shared" si="12"/>
        <v>8.264084511398373E-3</v>
      </c>
      <c r="K104" s="120">
        <v>845497</v>
      </c>
      <c r="L104" s="121">
        <f t="shared" si="12"/>
        <v>3.7423450638468525E-2</v>
      </c>
      <c r="M104" s="120">
        <v>823144</v>
      </c>
      <c r="N104" s="121">
        <f t="shared" si="13"/>
        <v>-2.6437704687302221E-2</v>
      </c>
    </row>
    <row r="105" spans="2:14" x14ac:dyDescent="0.25">
      <c r="B105" s="119" t="s">
        <v>90</v>
      </c>
      <c r="C105" s="120">
        <v>75032</v>
      </c>
      <c r="D105" s="121">
        <v>-0.90027101423655465</v>
      </c>
      <c r="E105" s="120">
        <v>380362</v>
      </c>
      <c r="F105" s="121">
        <f t="shared" si="12"/>
        <v>4.0693304190212176</v>
      </c>
      <c r="G105" s="120">
        <v>703133</v>
      </c>
      <c r="H105" s="121">
        <f t="shared" si="12"/>
        <v>0.8485889757651921</v>
      </c>
      <c r="I105" s="120">
        <v>745193</v>
      </c>
      <c r="J105" s="121">
        <f t="shared" si="12"/>
        <v>5.9817986070914042E-2</v>
      </c>
      <c r="K105" s="120">
        <v>756660</v>
      </c>
      <c r="L105" s="121">
        <f t="shared" si="12"/>
        <v>1.5387959897637193E-2</v>
      </c>
      <c r="M105" s="120">
        <v>758085</v>
      </c>
      <c r="N105" s="121">
        <f t="shared" si="13"/>
        <v>1.88327650463882E-3</v>
      </c>
    </row>
    <row r="106" spans="2:14" x14ac:dyDescent="0.25">
      <c r="B106" s="119" t="s">
        <v>92</v>
      </c>
      <c r="C106" s="120">
        <v>72966</v>
      </c>
      <c r="D106" s="121">
        <v>-0.90616138246252098</v>
      </c>
      <c r="E106" s="120">
        <v>591011</v>
      </c>
      <c r="F106" s="121">
        <f t="shared" si="12"/>
        <v>7.0998136118192043</v>
      </c>
      <c r="G106" s="120">
        <v>763388</v>
      </c>
      <c r="H106" s="121">
        <f t="shared" si="12"/>
        <v>0.2916646221474728</v>
      </c>
      <c r="I106" s="120">
        <v>818995</v>
      </c>
      <c r="J106" s="121">
        <f t="shared" si="12"/>
        <v>7.2842381593632544E-2</v>
      </c>
      <c r="K106" s="120">
        <v>826701</v>
      </c>
      <c r="L106" s="121">
        <f t="shared" si="12"/>
        <v>9.4090928516046279E-3</v>
      </c>
      <c r="M106" s="120">
        <v>851112</v>
      </c>
      <c r="N106" s="121">
        <f t="shared" si="13"/>
        <v>2.952820911066989E-2</v>
      </c>
    </row>
    <row r="107" spans="2:14" x14ac:dyDescent="0.25">
      <c r="B107" s="119" t="s">
        <v>94</v>
      </c>
      <c r="C107" s="120">
        <v>100018</v>
      </c>
      <c r="D107" s="121">
        <v>-0.87329565824361111</v>
      </c>
      <c r="E107" s="120">
        <v>633044</v>
      </c>
      <c r="F107" s="121">
        <f t="shared" si="12"/>
        <v>5.3293007258693432</v>
      </c>
      <c r="G107" s="120">
        <v>755348</v>
      </c>
      <c r="H107" s="121">
        <f t="shared" si="12"/>
        <v>0.19319984076936203</v>
      </c>
      <c r="I107" s="120">
        <v>811442</v>
      </c>
      <c r="J107" s="121">
        <f t="shared" si="12"/>
        <v>7.4262459157897975E-2</v>
      </c>
      <c r="K107" s="120">
        <v>789577</v>
      </c>
      <c r="L107" s="121">
        <f t="shared" si="12"/>
        <v>-2.6945856881945951E-2</v>
      </c>
      <c r="M107" s="120">
        <v>777991</v>
      </c>
      <c r="N107" s="121">
        <f t="shared" si="13"/>
        <v>-1.4673679704449327E-2</v>
      </c>
    </row>
    <row r="108" spans="2:14" x14ac:dyDescent="0.25">
      <c r="B108" s="119" t="s">
        <v>96</v>
      </c>
      <c r="C108" s="120">
        <v>109776</v>
      </c>
      <c r="D108" s="121">
        <v>-0.86667460154560105</v>
      </c>
      <c r="E108" s="120">
        <v>546870</v>
      </c>
      <c r="F108" s="121">
        <f t="shared" si="12"/>
        <v>3.9816899868823787</v>
      </c>
      <c r="G108" s="120">
        <v>753622</v>
      </c>
      <c r="H108" s="121">
        <f t="shared" si="12"/>
        <v>0.37806425658748877</v>
      </c>
      <c r="I108" s="120">
        <v>786129</v>
      </c>
      <c r="J108" s="121">
        <f t="shared" si="12"/>
        <v>4.3134356481100644E-2</v>
      </c>
      <c r="K108" s="120">
        <v>793507</v>
      </c>
      <c r="L108" s="121">
        <f t="shared" si="12"/>
        <v>9.3852281241373348E-3</v>
      </c>
      <c r="M108" s="120">
        <v>761728</v>
      </c>
      <c r="N108" s="121">
        <f t="shared" si="13"/>
        <v>-4.0048796040866641E-2</v>
      </c>
    </row>
    <row r="109" spans="2:14" ht="15.75" x14ac:dyDescent="0.25">
      <c r="B109" s="122" t="s">
        <v>33</v>
      </c>
      <c r="C109" s="123">
        <v>2617010</v>
      </c>
      <c r="D109" s="124">
        <v>-0.72391633884714368</v>
      </c>
      <c r="E109" s="123">
        <v>3016288</v>
      </c>
      <c r="F109" s="124">
        <f t="shared" si="12"/>
        <v>0.15257029969316127</v>
      </c>
      <c r="G109" s="123">
        <v>8352025</v>
      </c>
      <c r="H109" s="124">
        <f t="shared" si="12"/>
        <v>1.7689746469833119</v>
      </c>
      <c r="I109" s="123">
        <v>9162221</v>
      </c>
      <c r="J109" s="124">
        <f t="shared" si="12"/>
        <v>9.7005935686255818E-2</v>
      </c>
      <c r="K109" s="123">
        <v>9463234</v>
      </c>
      <c r="L109" s="124">
        <f t="shared" si="12"/>
        <v>3.2853715272748829E-2</v>
      </c>
      <c r="M109" s="123">
        <v>9420025</v>
      </c>
      <c r="N109" s="124">
        <v>-4.5659866383944703E-3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  <c r="K112" s="125"/>
      <c r="N112" s="81"/>
    </row>
    <row r="114" spans="1:15" ht="48.75" customHeight="1" thickBot="1" x14ac:dyDescent="0.3">
      <c r="B114" s="283" t="s">
        <v>287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$C$7</f>
        <v>2020</v>
      </c>
      <c r="D117" s="308"/>
      <c r="E117" s="309">
        <f>$E$7</f>
        <v>2021</v>
      </c>
      <c r="F117" s="308"/>
      <c r="G117" s="309">
        <f>$G$7</f>
        <v>2022</v>
      </c>
      <c r="H117" s="308"/>
      <c r="I117" s="309">
        <f>$I$7</f>
        <v>2023</v>
      </c>
      <c r="J117" s="308"/>
      <c r="K117" s="309">
        <f>$K$7</f>
        <v>2024</v>
      </c>
      <c r="L117" s="308"/>
      <c r="M117" s="309">
        <f>$M$7</f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CONCATENATE("var. ",RIGHT(C117,2),"/",RIGHT(C117-1,2))</f>
        <v>var. 20/19</v>
      </c>
      <c r="E118" s="118" t="s">
        <v>72</v>
      </c>
      <c r="F118" s="117" t="s">
        <v>254</v>
      </c>
      <c r="G118" s="118" t="s">
        <v>72</v>
      </c>
      <c r="H118" s="117" t="s">
        <v>254</v>
      </c>
      <c r="I118" s="118" t="s">
        <v>72</v>
      </c>
      <c r="J118" s="117" t="s">
        <v>254</v>
      </c>
      <c r="K118" s="118" t="s">
        <v>72</v>
      </c>
      <c r="L118" s="117" t="s">
        <v>254</v>
      </c>
      <c r="M118" s="118" t="s">
        <v>72</v>
      </c>
      <c r="N118" s="117" t="s">
        <v>283</v>
      </c>
    </row>
    <row r="119" spans="1:15" x14ac:dyDescent="0.25">
      <c r="B119" s="119" t="s">
        <v>74</v>
      </c>
      <c r="C119" s="120">
        <v>371020</v>
      </c>
      <c r="D119" s="121">
        <v>-2.3098911204988415E-3</v>
      </c>
      <c r="E119" s="120">
        <v>5882</v>
      </c>
      <c r="F119" s="121">
        <f t="shared" ref="F119:L131" si="14">IFERROR(E119/C119-1,"-")</f>
        <v>-0.98414640720176805</v>
      </c>
      <c r="G119" s="120">
        <v>194152</v>
      </c>
      <c r="H119" s="121">
        <f t="shared" si="14"/>
        <v>32.00782046922815</v>
      </c>
      <c r="I119" s="120">
        <v>305389</v>
      </c>
      <c r="J119" s="121">
        <f t="shared" si="14"/>
        <v>0.57293769829824059</v>
      </c>
      <c r="K119" s="120">
        <v>337479</v>
      </c>
      <c r="L119" s="121">
        <f t="shared" si="14"/>
        <v>0.10507909584169695</v>
      </c>
      <c r="M119" s="120">
        <v>359614</v>
      </c>
      <c r="N119" s="121">
        <f t="shared" ref="N119:N130" si="15">IFERROR(M119/K119-1,"-")</f>
        <v>6.55892662950881E-2</v>
      </c>
    </row>
    <row r="120" spans="1:15" x14ac:dyDescent="0.25">
      <c r="B120" s="119" t="s">
        <v>76</v>
      </c>
      <c r="C120" s="120">
        <v>348572</v>
      </c>
      <c r="D120" s="121">
        <v>7.5899278354970345E-2</v>
      </c>
      <c r="E120" s="120">
        <v>2515</v>
      </c>
      <c r="F120" s="121">
        <f t="shared" si="14"/>
        <v>-0.99278484789369192</v>
      </c>
      <c r="G120" s="120">
        <v>236389</v>
      </c>
      <c r="H120" s="121">
        <f t="shared" si="14"/>
        <v>92.991650099403572</v>
      </c>
      <c r="I120" s="120">
        <v>294598</v>
      </c>
      <c r="J120" s="121">
        <f t="shared" si="14"/>
        <v>0.24624242244774508</v>
      </c>
      <c r="K120" s="120">
        <v>317505</v>
      </c>
      <c r="L120" s="121">
        <f t="shared" si="14"/>
        <v>7.7756807581857323E-2</v>
      </c>
      <c r="M120" s="120">
        <v>313821</v>
      </c>
      <c r="N120" s="121">
        <f t="shared" si="15"/>
        <v>-1.1602966882411248E-2</v>
      </c>
    </row>
    <row r="121" spans="1:15" x14ac:dyDescent="0.25">
      <c r="B121" s="119" t="s">
        <v>78</v>
      </c>
      <c r="C121" s="120">
        <v>182964</v>
      </c>
      <c r="D121" s="121">
        <v>-0.50144826439885448</v>
      </c>
      <c r="E121" s="120">
        <v>2747</v>
      </c>
      <c r="F121" s="121">
        <f t="shared" si="14"/>
        <v>-0.98498611748759324</v>
      </c>
      <c r="G121" s="120">
        <v>322218</v>
      </c>
      <c r="H121" s="121">
        <f t="shared" si="14"/>
        <v>116.29814342919549</v>
      </c>
      <c r="I121" s="120">
        <v>365880</v>
      </c>
      <c r="J121" s="121">
        <f t="shared" si="14"/>
        <v>0.13550453419734465</v>
      </c>
      <c r="K121" s="120">
        <v>366554</v>
      </c>
      <c r="L121" s="121">
        <f t="shared" si="14"/>
        <v>1.8421340330163627E-3</v>
      </c>
      <c r="M121" s="120">
        <v>362426</v>
      </c>
      <c r="N121" s="121">
        <f t="shared" si="15"/>
        <v>-1.1261642213698408E-2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1587</v>
      </c>
      <c r="F122" s="121" t="str">
        <f t="shared" si="14"/>
        <v>-</v>
      </c>
      <c r="G122" s="120">
        <v>336250</v>
      </c>
      <c r="H122" s="121">
        <f t="shared" si="14"/>
        <v>210.87775677378701</v>
      </c>
      <c r="I122" s="120">
        <v>328415</v>
      </c>
      <c r="J122" s="121">
        <f t="shared" si="14"/>
        <v>-2.3301115241635695E-2</v>
      </c>
      <c r="K122" s="120">
        <v>387552</v>
      </c>
      <c r="L122" s="121">
        <f t="shared" si="14"/>
        <v>0.18006790189242272</v>
      </c>
      <c r="M122" s="120">
        <v>350010</v>
      </c>
      <c r="N122" s="121">
        <f t="shared" si="15"/>
        <v>-9.6869581372306168E-2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1610</v>
      </c>
      <c r="F123" s="121" t="str">
        <f t="shared" si="14"/>
        <v>-</v>
      </c>
      <c r="G123" s="120">
        <v>366440</v>
      </c>
      <c r="H123" s="121">
        <f t="shared" si="14"/>
        <v>226.6024844720497</v>
      </c>
      <c r="I123" s="120">
        <v>380507</v>
      </c>
      <c r="J123" s="121">
        <f t="shared" si="14"/>
        <v>3.838827638904041E-2</v>
      </c>
      <c r="K123" s="120">
        <v>422996</v>
      </c>
      <c r="L123" s="121">
        <f t="shared" si="14"/>
        <v>0.11166417437786946</v>
      </c>
      <c r="M123" s="120">
        <v>432268</v>
      </c>
      <c r="N123" s="121">
        <f t="shared" si="15"/>
        <v>2.1919829029116045E-2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8660</v>
      </c>
      <c r="F124" s="121" t="str">
        <f t="shared" si="14"/>
        <v>-</v>
      </c>
      <c r="G124" s="120">
        <v>382090</v>
      </c>
      <c r="H124" s="121">
        <f t="shared" si="14"/>
        <v>43.121247113163975</v>
      </c>
      <c r="I124" s="120">
        <v>428359</v>
      </c>
      <c r="J124" s="121">
        <f t="shared" si="14"/>
        <v>0.12109450652987519</v>
      </c>
      <c r="K124" s="120">
        <v>458450</v>
      </c>
      <c r="L124" s="121">
        <f t="shared" si="14"/>
        <v>7.024715250525837E-2</v>
      </c>
      <c r="M124" s="120">
        <v>466474</v>
      </c>
      <c r="N124" s="121">
        <f t="shared" si="15"/>
        <v>1.7502453920820171E-2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31484</v>
      </c>
      <c r="F125" s="121" t="str">
        <f t="shared" si="14"/>
        <v>-</v>
      </c>
      <c r="G125" s="120">
        <v>453306</v>
      </c>
      <c r="H125" s="121">
        <f t="shared" si="14"/>
        <v>13.397979926311777</v>
      </c>
      <c r="I125" s="120">
        <v>480710</v>
      </c>
      <c r="J125" s="121">
        <f t="shared" si="14"/>
        <v>6.0453644999183709E-2</v>
      </c>
      <c r="K125" s="120">
        <v>490081</v>
      </c>
      <c r="L125" s="121">
        <f t="shared" si="14"/>
        <v>1.9494081670861751E-2</v>
      </c>
      <c r="M125" s="120">
        <v>493997</v>
      </c>
      <c r="N125" s="121">
        <f t="shared" si="15"/>
        <v>7.9905158535018561E-3</v>
      </c>
    </row>
    <row r="126" spans="1:15" x14ac:dyDescent="0.25">
      <c r="B126" s="119" t="s">
        <v>88</v>
      </c>
      <c r="C126" s="120">
        <v>39763</v>
      </c>
      <c r="D126" s="121">
        <v>-0.92509800006404619</v>
      </c>
      <c r="E126" s="120">
        <v>112679</v>
      </c>
      <c r="F126" s="121">
        <f t="shared" si="14"/>
        <v>1.833765057968463</v>
      </c>
      <c r="G126" s="120">
        <v>453711</v>
      </c>
      <c r="H126" s="121">
        <f t="shared" si="14"/>
        <v>3.0265799305993131</v>
      </c>
      <c r="I126" s="120">
        <v>456116</v>
      </c>
      <c r="J126" s="121">
        <f t="shared" si="14"/>
        <v>5.3007310821204801E-3</v>
      </c>
      <c r="K126" s="120">
        <v>482673</v>
      </c>
      <c r="L126" s="121">
        <f t="shared" si="14"/>
        <v>5.8224223662401764E-2</v>
      </c>
      <c r="M126" s="120">
        <v>471034</v>
      </c>
      <c r="N126" s="121">
        <f t="shared" si="15"/>
        <v>-2.4113633868063866E-2</v>
      </c>
    </row>
    <row r="127" spans="1:15" x14ac:dyDescent="0.25">
      <c r="B127" s="119" t="s">
        <v>90</v>
      </c>
      <c r="C127" s="120">
        <v>30652</v>
      </c>
      <c r="D127" s="121">
        <v>-0.93657126420845482</v>
      </c>
      <c r="E127" s="120">
        <v>175746</v>
      </c>
      <c r="F127" s="121">
        <f t="shared" si="14"/>
        <v>4.7335899778154769</v>
      </c>
      <c r="G127" s="120">
        <v>420455</v>
      </c>
      <c r="H127" s="121">
        <f t="shared" si="14"/>
        <v>1.3924015340320688</v>
      </c>
      <c r="I127" s="120">
        <v>441166</v>
      </c>
      <c r="J127" s="121">
        <f t="shared" si="14"/>
        <v>4.9258541342117379E-2</v>
      </c>
      <c r="K127" s="120">
        <v>457809</v>
      </c>
      <c r="L127" s="121">
        <f t="shared" si="14"/>
        <v>3.7725028674013839E-2</v>
      </c>
      <c r="M127" s="120">
        <v>449547</v>
      </c>
      <c r="N127" s="121">
        <f t="shared" si="15"/>
        <v>-1.8046827388714548E-2</v>
      </c>
    </row>
    <row r="128" spans="1:15" x14ac:dyDescent="0.25">
      <c r="A128" s="125"/>
      <c r="B128" s="119" t="s">
        <v>92</v>
      </c>
      <c r="C128" s="120">
        <v>32753</v>
      </c>
      <c r="D128" s="121">
        <v>-0.92429537585347699</v>
      </c>
      <c r="E128" s="120">
        <v>282050</v>
      </c>
      <c r="F128" s="121">
        <f t="shared" si="14"/>
        <v>7.6114249076420482</v>
      </c>
      <c r="G128" s="120">
        <v>411383</v>
      </c>
      <c r="H128" s="121">
        <f t="shared" si="14"/>
        <v>0.45854635702889568</v>
      </c>
      <c r="I128" s="120">
        <v>438839</v>
      </c>
      <c r="J128" s="121">
        <f t="shared" si="14"/>
        <v>6.6740725795669809E-2</v>
      </c>
      <c r="K128" s="120">
        <v>440688</v>
      </c>
      <c r="L128" s="121">
        <f t="shared" si="14"/>
        <v>4.2133903322174593E-3</v>
      </c>
      <c r="M128" s="120">
        <v>467410</v>
      </c>
      <c r="N128" s="121">
        <f t="shared" si="15"/>
        <v>6.0637003957448421E-2</v>
      </c>
    </row>
    <row r="129" spans="2:15" x14ac:dyDescent="0.25">
      <c r="B129" s="119" t="s">
        <v>94</v>
      </c>
      <c r="C129" s="120">
        <v>58172</v>
      </c>
      <c r="D129" s="121">
        <v>-0.8345859102864861</v>
      </c>
      <c r="E129" s="120">
        <v>253462</v>
      </c>
      <c r="F129" s="121">
        <f t="shared" si="14"/>
        <v>3.3571133878842057</v>
      </c>
      <c r="G129" s="120">
        <v>344832</v>
      </c>
      <c r="H129" s="121">
        <f t="shared" si="14"/>
        <v>0.3604879626926325</v>
      </c>
      <c r="I129" s="120">
        <v>355194</v>
      </c>
      <c r="J129" s="121">
        <f t="shared" si="14"/>
        <v>3.004941536748329E-2</v>
      </c>
      <c r="K129" s="120">
        <v>349166</v>
      </c>
      <c r="L129" s="121">
        <f t="shared" si="14"/>
        <v>-1.6971007393142945E-2</v>
      </c>
      <c r="M129" s="120">
        <v>345916</v>
      </c>
      <c r="N129" s="121">
        <f t="shared" si="15"/>
        <v>-9.3078936666227685E-3</v>
      </c>
    </row>
    <row r="130" spans="2:15" x14ac:dyDescent="0.25">
      <c r="B130" s="119" t="s">
        <v>96</v>
      </c>
      <c r="C130" s="120">
        <v>59517</v>
      </c>
      <c r="D130" s="121">
        <v>-0.84141782593983061</v>
      </c>
      <c r="E130" s="120">
        <v>187921</v>
      </c>
      <c r="F130" s="121">
        <f t="shared" si="14"/>
        <v>2.1574340104507956</v>
      </c>
      <c r="G130" s="120">
        <v>335204</v>
      </c>
      <c r="H130" s="121">
        <f t="shared" si="14"/>
        <v>0.78374955433400206</v>
      </c>
      <c r="I130" s="120">
        <v>352959</v>
      </c>
      <c r="J130" s="121">
        <f t="shared" si="14"/>
        <v>5.296774501497592E-2</v>
      </c>
      <c r="K130" s="120">
        <v>347949</v>
      </c>
      <c r="L130" s="121">
        <f t="shared" si="14"/>
        <v>-1.4194283188698975E-2</v>
      </c>
      <c r="M130" s="120">
        <v>338110</v>
      </c>
      <c r="N130" s="121">
        <f t="shared" si="15"/>
        <v>-2.8277132568278684E-2</v>
      </c>
    </row>
    <row r="131" spans="2:15" ht="15.75" x14ac:dyDescent="0.25">
      <c r="B131" s="122" t="s">
        <v>33</v>
      </c>
      <c r="C131" s="123">
        <v>1173619</v>
      </c>
      <c r="D131" s="124">
        <v>-0.76964985814343068</v>
      </c>
      <c r="E131" s="123">
        <v>1066343</v>
      </c>
      <c r="F131" s="124">
        <f t="shared" si="14"/>
        <v>-9.1406154808332141E-2</v>
      </c>
      <c r="G131" s="123">
        <v>4256430</v>
      </c>
      <c r="H131" s="124">
        <f t="shared" si="14"/>
        <v>2.9916143304734031</v>
      </c>
      <c r="I131" s="123">
        <v>4628132</v>
      </c>
      <c r="J131" s="124">
        <f t="shared" si="14"/>
        <v>8.732717324142536E-2</v>
      </c>
      <c r="K131" s="123">
        <v>4858902</v>
      </c>
      <c r="L131" s="124">
        <f t="shared" si="14"/>
        <v>4.9862449904194639E-2</v>
      </c>
      <c r="M131" s="123">
        <v>4850627</v>
      </c>
      <c r="N131" s="124">
        <v>-1.7030596624504346E-3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C134" s="125"/>
      <c r="K134" s="125"/>
      <c r="N134" s="81"/>
    </row>
    <row r="136" spans="2:15" ht="48.75" customHeight="1" thickBot="1" x14ac:dyDescent="0.3">
      <c r="B136" s="283" t="s">
        <v>288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$C$7</f>
        <v>2020</v>
      </c>
      <c r="D139" s="308"/>
      <c r="E139" s="309">
        <f>$E$7</f>
        <v>2021</v>
      </c>
      <c r="F139" s="308"/>
      <c r="G139" s="309">
        <f>$G$7</f>
        <v>2022</v>
      </c>
      <c r="H139" s="308"/>
      <c r="I139" s="309">
        <f>$I$7</f>
        <v>2023</v>
      </c>
      <c r="J139" s="308"/>
      <c r="K139" s="309">
        <f>$K$7</f>
        <v>2024</v>
      </c>
      <c r="L139" s="308"/>
      <c r="M139" s="309">
        <f>$M$7</f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CONCATENATE("var. ",RIGHT(C139,2),"/",RIGHT(C139-1,2))</f>
        <v>var. 20/19</v>
      </c>
      <c r="E140" s="118" t="s">
        <v>72</v>
      </c>
      <c r="F140" s="117" t="s">
        <v>254</v>
      </c>
      <c r="G140" s="118" t="s">
        <v>72</v>
      </c>
      <c r="H140" s="117" t="s">
        <v>254</v>
      </c>
      <c r="I140" s="118" t="s">
        <v>72</v>
      </c>
      <c r="J140" s="117" t="s">
        <v>254</v>
      </c>
      <c r="K140" s="118" t="s">
        <v>72</v>
      </c>
      <c r="L140" s="117" t="s">
        <v>254</v>
      </c>
      <c r="M140" s="118" t="s">
        <v>72</v>
      </c>
      <c r="N140" s="117" t="s">
        <v>283</v>
      </c>
    </row>
    <row r="141" spans="2:15" x14ac:dyDescent="0.25">
      <c r="B141" s="119" t="s">
        <v>74</v>
      </c>
      <c r="C141" s="120">
        <v>44550</v>
      </c>
      <c r="D141" s="121">
        <v>-0.10161527758172173</v>
      </c>
      <c r="E141" s="120">
        <v>3988</v>
      </c>
      <c r="F141" s="121">
        <f t="shared" ref="F141:L153" si="16">IFERROR(E141/C141-1,"-")</f>
        <v>-0.91048260381593715</v>
      </c>
      <c r="G141" s="120">
        <v>24948</v>
      </c>
      <c r="H141" s="121">
        <f t="shared" si="16"/>
        <v>5.2557673019057169</v>
      </c>
      <c r="I141" s="120">
        <v>34751</v>
      </c>
      <c r="J141" s="121">
        <f t="shared" si="16"/>
        <v>0.39293730960397633</v>
      </c>
      <c r="K141" s="120">
        <v>33149</v>
      </c>
      <c r="L141" s="121">
        <f t="shared" si="16"/>
        <v>-4.6099392823228058E-2</v>
      </c>
      <c r="M141" s="120">
        <v>33405</v>
      </c>
      <c r="N141" s="121">
        <f t="shared" ref="N141:N152" si="17">IFERROR(M141/K141-1,"-")</f>
        <v>7.7227065673173279E-3</v>
      </c>
    </row>
    <row r="142" spans="2:15" x14ac:dyDescent="0.25">
      <c r="B142" s="119" t="s">
        <v>76</v>
      </c>
      <c r="C142" s="120">
        <v>43433</v>
      </c>
      <c r="D142" s="121">
        <v>-6.8660877023694611E-2</v>
      </c>
      <c r="E142" s="120">
        <v>4402</v>
      </c>
      <c r="F142" s="121">
        <f t="shared" si="16"/>
        <v>-0.89864849308129768</v>
      </c>
      <c r="G142" s="120">
        <v>24167</v>
      </c>
      <c r="H142" s="121">
        <f t="shared" si="16"/>
        <v>4.4900045433893681</v>
      </c>
      <c r="I142" s="120">
        <v>41108</v>
      </c>
      <c r="J142" s="121">
        <f t="shared" si="16"/>
        <v>0.7009972276244465</v>
      </c>
      <c r="K142" s="120">
        <v>38403</v>
      </c>
      <c r="L142" s="121">
        <f t="shared" si="16"/>
        <v>-6.5802276929064929E-2</v>
      </c>
      <c r="M142" s="120">
        <v>32430</v>
      </c>
      <c r="N142" s="121">
        <f t="shared" si="17"/>
        <v>-0.15553472384969924</v>
      </c>
    </row>
    <row r="143" spans="2:15" x14ac:dyDescent="0.25">
      <c r="B143" s="119" t="s">
        <v>78</v>
      </c>
      <c r="C143" s="120">
        <v>17711</v>
      </c>
      <c r="D143" s="121">
        <v>-0.61737383339094365</v>
      </c>
      <c r="E143" s="120">
        <v>6472</v>
      </c>
      <c r="F143" s="121">
        <f t="shared" si="16"/>
        <v>-0.63457738128846475</v>
      </c>
      <c r="G143" s="120">
        <v>30216</v>
      </c>
      <c r="H143" s="121">
        <f t="shared" si="16"/>
        <v>3.6687268232385657</v>
      </c>
      <c r="I143" s="120">
        <v>34033</v>
      </c>
      <c r="J143" s="121">
        <f t="shared" si="16"/>
        <v>0.12632380195922699</v>
      </c>
      <c r="K143" s="120">
        <v>36177</v>
      </c>
      <c r="L143" s="121">
        <f t="shared" si="16"/>
        <v>6.2997678723591743E-2</v>
      </c>
      <c r="M143" s="120">
        <v>34895</v>
      </c>
      <c r="N143" s="121">
        <f t="shared" si="17"/>
        <v>-3.5436879785499031E-2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3725</v>
      </c>
      <c r="F144" s="121" t="str">
        <f t="shared" si="16"/>
        <v>-</v>
      </c>
      <c r="G144" s="120">
        <v>29557</v>
      </c>
      <c r="H144" s="121">
        <f t="shared" si="16"/>
        <v>6.9347651006711413</v>
      </c>
      <c r="I144" s="120">
        <v>29401</v>
      </c>
      <c r="J144" s="121">
        <f t="shared" si="16"/>
        <v>-5.277937544405753E-3</v>
      </c>
      <c r="K144" s="120">
        <v>30259</v>
      </c>
      <c r="L144" s="121">
        <f t="shared" si="16"/>
        <v>2.9182680861195243E-2</v>
      </c>
      <c r="M144" s="120">
        <v>32073</v>
      </c>
      <c r="N144" s="121">
        <f t="shared" si="17"/>
        <v>5.994910605109216E-2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4989</v>
      </c>
      <c r="F145" s="121" t="str">
        <f t="shared" si="16"/>
        <v>-</v>
      </c>
      <c r="G145" s="120">
        <v>16808</v>
      </c>
      <c r="H145" s="121">
        <f t="shared" si="16"/>
        <v>2.3690118260172381</v>
      </c>
      <c r="I145" s="120">
        <v>17791</v>
      </c>
      <c r="J145" s="121">
        <f t="shared" si="16"/>
        <v>5.8484055211803998E-2</v>
      </c>
      <c r="K145" s="120">
        <v>18366</v>
      </c>
      <c r="L145" s="121">
        <f t="shared" si="16"/>
        <v>3.2319712214040841E-2</v>
      </c>
      <c r="M145" s="120">
        <v>19038</v>
      </c>
      <c r="N145" s="121">
        <f t="shared" si="17"/>
        <v>3.6589349885658207E-2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6327</v>
      </c>
      <c r="F146" s="121" t="str">
        <f t="shared" si="16"/>
        <v>-</v>
      </c>
      <c r="G146" s="120">
        <v>19444</v>
      </c>
      <c r="H146" s="121">
        <f t="shared" si="16"/>
        <v>2.0731784415994943</v>
      </c>
      <c r="I146" s="120">
        <v>23745</v>
      </c>
      <c r="J146" s="121">
        <f t="shared" si="16"/>
        <v>0.22119934169923883</v>
      </c>
      <c r="K146" s="120">
        <v>18611</v>
      </c>
      <c r="L146" s="121">
        <f t="shared" si="16"/>
        <v>-0.21621393977679515</v>
      </c>
      <c r="M146" s="120">
        <v>24240</v>
      </c>
      <c r="N146" s="121">
        <f t="shared" si="17"/>
        <v>0.30245553704798245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11927</v>
      </c>
      <c r="F147" s="121" t="str">
        <f t="shared" si="16"/>
        <v>-</v>
      </c>
      <c r="G147" s="120">
        <v>25892</v>
      </c>
      <c r="H147" s="121">
        <f t="shared" si="16"/>
        <v>1.1708728095916827</v>
      </c>
      <c r="I147" s="120">
        <v>20984</v>
      </c>
      <c r="J147" s="121">
        <f t="shared" si="16"/>
        <v>-0.18955661980534533</v>
      </c>
      <c r="K147" s="120">
        <v>21458</v>
      </c>
      <c r="L147" s="121">
        <f t="shared" si="16"/>
        <v>2.2588638963019436E-2</v>
      </c>
      <c r="M147" s="120">
        <v>24820</v>
      </c>
      <c r="N147" s="121">
        <f t="shared" si="17"/>
        <v>0.15667816199086593</v>
      </c>
    </row>
    <row r="148" spans="1:15" x14ac:dyDescent="0.25">
      <c r="B148" s="119" t="s">
        <v>88</v>
      </c>
      <c r="C148" s="120">
        <v>9610</v>
      </c>
      <c r="D148" s="121">
        <v>-0.68435919332588846</v>
      </c>
      <c r="E148" s="120">
        <v>11584</v>
      </c>
      <c r="F148" s="121">
        <f t="shared" si="16"/>
        <v>0.20541103017689899</v>
      </c>
      <c r="G148" s="120">
        <v>23834</v>
      </c>
      <c r="H148" s="121">
        <f t="shared" si="16"/>
        <v>1.0574930939226519</v>
      </c>
      <c r="I148" s="120">
        <v>24723</v>
      </c>
      <c r="J148" s="121">
        <f t="shared" si="16"/>
        <v>3.7299655953679567E-2</v>
      </c>
      <c r="K148" s="120">
        <v>25592</v>
      </c>
      <c r="L148" s="121">
        <f t="shared" si="16"/>
        <v>3.5149455972171673E-2</v>
      </c>
      <c r="M148" s="120">
        <v>28794</v>
      </c>
      <c r="N148" s="121">
        <f t="shared" si="17"/>
        <v>0.12511722413254134</v>
      </c>
    </row>
    <row r="149" spans="1:15" x14ac:dyDescent="0.25">
      <c r="B149" s="119" t="s">
        <v>90</v>
      </c>
      <c r="C149" s="120">
        <v>2711</v>
      </c>
      <c r="D149" s="121">
        <v>-0.92172431714500203</v>
      </c>
      <c r="E149" s="120">
        <v>19406</v>
      </c>
      <c r="F149" s="121">
        <f t="shared" si="16"/>
        <v>6.1582441903356697</v>
      </c>
      <c r="G149" s="120">
        <v>20951</v>
      </c>
      <c r="H149" s="121">
        <f t="shared" si="16"/>
        <v>7.9614552200350408E-2</v>
      </c>
      <c r="I149" s="120">
        <v>27751</v>
      </c>
      <c r="J149" s="121">
        <f t="shared" si="16"/>
        <v>0.32456684645124345</v>
      </c>
      <c r="K149" s="120">
        <v>23085</v>
      </c>
      <c r="L149" s="121">
        <f t="shared" si="16"/>
        <v>-0.16813808511404993</v>
      </c>
      <c r="M149" s="120">
        <v>27143</v>
      </c>
      <c r="N149" s="121">
        <f t="shared" si="17"/>
        <v>0.17578514186701311</v>
      </c>
    </row>
    <row r="150" spans="1:15" x14ac:dyDescent="0.25">
      <c r="A150" s="125"/>
      <c r="B150" s="119" t="s">
        <v>92</v>
      </c>
      <c r="C150" s="120">
        <v>1419</v>
      </c>
      <c r="D150" s="121">
        <v>-0.96029547553093264</v>
      </c>
      <c r="E150" s="120">
        <v>30169</v>
      </c>
      <c r="F150" s="121">
        <f t="shared" si="16"/>
        <v>20.260747004933052</v>
      </c>
      <c r="G150" s="120">
        <v>22674</v>
      </c>
      <c r="H150" s="121">
        <f t="shared" si="16"/>
        <v>-0.24843382279823656</v>
      </c>
      <c r="I150" s="120">
        <v>29023</v>
      </c>
      <c r="J150" s="121">
        <f t="shared" si="16"/>
        <v>0.28001234894592919</v>
      </c>
      <c r="K150" s="120">
        <v>30463</v>
      </c>
      <c r="L150" s="121">
        <f t="shared" si="16"/>
        <v>4.9615821934327897E-2</v>
      </c>
      <c r="M150" s="120">
        <v>33053</v>
      </c>
      <c r="N150" s="121">
        <f t="shared" si="17"/>
        <v>8.5021173226537128E-2</v>
      </c>
    </row>
    <row r="151" spans="1:15" x14ac:dyDescent="0.25">
      <c r="B151" s="119" t="s">
        <v>94</v>
      </c>
      <c r="C151" s="120">
        <v>6113</v>
      </c>
      <c r="D151" s="121">
        <v>-0.86518910574484509</v>
      </c>
      <c r="E151" s="120">
        <v>39561</v>
      </c>
      <c r="F151" s="121">
        <f t="shared" si="16"/>
        <v>5.4716178635694419</v>
      </c>
      <c r="G151" s="120">
        <v>37132</v>
      </c>
      <c r="H151" s="121">
        <f t="shared" si="16"/>
        <v>-6.1398852405146531E-2</v>
      </c>
      <c r="I151" s="120">
        <v>37370</v>
      </c>
      <c r="J151" s="121">
        <f t="shared" si="16"/>
        <v>6.4095658731013749E-3</v>
      </c>
      <c r="K151" s="120">
        <v>40648</v>
      </c>
      <c r="L151" s="121">
        <f t="shared" si="16"/>
        <v>8.7717420390687639E-2</v>
      </c>
      <c r="M151" s="120">
        <v>43964</v>
      </c>
      <c r="N151" s="121">
        <f t="shared" si="17"/>
        <v>8.1578429443023071E-2</v>
      </c>
    </row>
    <row r="152" spans="1:15" x14ac:dyDescent="0.25">
      <c r="B152" s="119" t="s">
        <v>96</v>
      </c>
      <c r="C152" s="120">
        <v>7245</v>
      </c>
      <c r="D152" s="121">
        <v>-0.82432530733978326</v>
      </c>
      <c r="E152" s="120">
        <v>32431</v>
      </c>
      <c r="F152" s="121">
        <f t="shared" si="16"/>
        <v>3.4763285024154591</v>
      </c>
      <c r="G152" s="120">
        <v>35573</v>
      </c>
      <c r="H152" s="121">
        <f t="shared" si="16"/>
        <v>9.6882612315377203E-2</v>
      </c>
      <c r="I152" s="120">
        <v>37684</v>
      </c>
      <c r="J152" s="121">
        <f t="shared" si="16"/>
        <v>5.934275995839533E-2</v>
      </c>
      <c r="K152" s="120">
        <v>41905</v>
      </c>
      <c r="L152" s="121">
        <f t="shared" si="16"/>
        <v>0.11201040229275017</v>
      </c>
      <c r="M152" s="120">
        <v>42165</v>
      </c>
      <c r="N152" s="121">
        <f t="shared" si="17"/>
        <v>6.2045102016465847E-3</v>
      </c>
    </row>
    <row r="153" spans="1:15" ht="15.75" x14ac:dyDescent="0.25">
      <c r="B153" s="122" t="s">
        <v>33</v>
      </c>
      <c r="C153" s="123">
        <v>139836</v>
      </c>
      <c r="D153" s="124">
        <v>-0.7030603664285533</v>
      </c>
      <c r="E153" s="123">
        <v>174981</v>
      </c>
      <c r="F153" s="124">
        <f t="shared" si="16"/>
        <v>0.2513301295803656</v>
      </c>
      <c r="G153" s="123">
        <v>311196</v>
      </c>
      <c r="H153" s="124">
        <f t="shared" si="16"/>
        <v>0.77845594664563578</v>
      </c>
      <c r="I153" s="123">
        <v>358364</v>
      </c>
      <c r="J153" s="124">
        <f t="shared" si="16"/>
        <v>0.15157007159475056</v>
      </c>
      <c r="K153" s="123">
        <v>358116</v>
      </c>
      <c r="L153" s="124">
        <f t="shared" si="16"/>
        <v>-6.920337980377278E-4</v>
      </c>
      <c r="M153" s="123">
        <v>376020</v>
      </c>
      <c r="N153" s="124">
        <v>4.9994973695673961E-2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C156" s="125"/>
      <c r="K156" s="125"/>
      <c r="N156" s="81"/>
    </row>
    <row r="158" spans="1:15" ht="48.75" customHeight="1" thickBot="1" x14ac:dyDescent="0.3">
      <c r="B158" s="283" t="s">
        <v>289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$C$7</f>
        <v>2020</v>
      </c>
      <c r="D161" s="308"/>
      <c r="E161" s="309">
        <f>$E$7</f>
        <v>2021</v>
      </c>
      <c r="F161" s="308"/>
      <c r="G161" s="309">
        <f>$G$7</f>
        <v>2022</v>
      </c>
      <c r="H161" s="308"/>
      <c r="I161" s="309">
        <f>$I$7</f>
        <v>2023</v>
      </c>
      <c r="J161" s="308"/>
      <c r="K161" s="309">
        <f>$K$7</f>
        <v>2024</v>
      </c>
      <c r="L161" s="308"/>
      <c r="M161" s="309">
        <f>$M$7</f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CONCATENATE("var. ",RIGHT(C161,2),"/",RIGHT(C161-1,2))</f>
        <v>var. 20/19</v>
      </c>
      <c r="E162" s="118" t="s">
        <v>72</v>
      </c>
      <c r="F162" s="117" t="s">
        <v>254</v>
      </c>
      <c r="G162" s="118" t="s">
        <v>72</v>
      </c>
      <c r="H162" s="117" t="s">
        <v>254</v>
      </c>
      <c r="I162" s="118" t="s">
        <v>72</v>
      </c>
      <c r="J162" s="117" t="s">
        <v>254</v>
      </c>
      <c r="K162" s="118" t="s">
        <v>72</v>
      </c>
      <c r="L162" s="117" t="s">
        <v>254</v>
      </c>
      <c r="M162" s="118" t="s">
        <v>72</v>
      </c>
      <c r="N162" s="117" t="s">
        <v>283</v>
      </c>
    </row>
    <row r="163" spans="2:14" x14ac:dyDescent="0.25">
      <c r="B163" s="119" t="s">
        <v>74</v>
      </c>
      <c r="C163" s="120">
        <v>18130</v>
      </c>
      <c r="D163" s="121">
        <v>9.8787878787878869E-2</v>
      </c>
      <c r="E163" s="120">
        <v>3849</v>
      </c>
      <c r="F163" s="121">
        <f t="shared" ref="F163:L175" si="18">IFERROR(E163/C163-1,"-")</f>
        <v>-0.78769994484280192</v>
      </c>
      <c r="G163" s="120">
        <v>13267</v>
      </c>
      <c r="H163" s="121">
        <f t="shared" si="18"/>
        <v>2.4468693167056377</v>
      </c>
      <c r="I163" s="120">
        <v>19000</v>
      </c>
      <c r="J163" s="121">
        <f t="shared" si="18"/>
        <v>0.43212482098439731</v>
      </c>
      <c r="K163" s="120">
        <v>18969</v>
      </c>
      <c r="L163" s="121">
        <f t="shared" si="18"/>
        <v>-1.6315789473684283E-3</v>
      </c>
      <c r="M163" s="120">
        <v>20765</v>
      </c>
      <c r="N163" s="121">
        <f t="shared" ref="N163:N174" si="19">IFERROR(M163/K163-1,"-")</f>
        <v>9.4680794981285343E-2</v>
      </c>
    </row>
    <row r="164" spans="2:14" x14ac:dyDescent="0.25">
      <c r="B164" s="119" t="s">
        <v>76</v>
      </c>
      <c r="C164" s="120">
        <v>19669</v>
      </c>
      <c r="D164" s="121">
        <v>6.7053653773124333E-2</v>
      </c>
      <c r="E164" s="120">
        <v>7396</v>
      </c>
      <c r="F164" s="121">
        <f t="shared" si="18"/>
        <v>-0.62397681630992929</v>
      </c>
      <c r="G164" s="120">
        <v>18071</v>
      </c>
      <c r="H164" s="121">
        <f t="shared" si="18"/>
        <v>1.4433477555435372</v>
      </c>
      <c r="I164" s="120">
        <v>20172</v>
      </c>
      <c r="J164" s="121">
        <f t="shared" si="18"/>
        <v>0.11626362680537872</v>
      </c>
      <c r="K164" s="120">
        <v>19532</v>
      </c>
      <c r="L164" s="121">
        <f t="shared" si="18"/>
        <v>-3.1727146539758055E-2</v>
      </c>
      <c r="M164" s="120">
        <v>23537</v>
      </c>
      <c r="N164" s="121">
        <f t="shared" si="19"/>
        <v>0.20504812615195567</v>
      </c>
    </row>
    <row r="165" spans="2:14" x14ac:dyDescent="0.25">
      <c r="B165" s="119" t="s">
        <v>78</v>
      </c>
      <c r="C165" s="120">
        <v>5819</v>
      </c>
      <c r="D165" s="121">
        <v>-0.58130666282918408</v>
      </c>
      <c r="E165" s="120">
        <v>7023</v>
      </c>
      <c r="F165" s="121">
        <f t="shared" si="18"/>
        <v>0.2069084035057569</v>
      </c>
      <c r="G165" s="120">
        <v>15881</v>
      </c>
      <c r="H165" s="121">
        <f t="shared" si="18"/>
        <v>1.2612843514167733</v>
      </c>
      <c r="I165" s="120">
        <v>20521</v>
      </c>
      <c r="J165" s="121">
        <f t="shared" si="18"/>
        <v>0.29217303696240782</v>
      </c>
      <c r="K165" s="120">
        <v>19164</v>
      </c>
      <c r="L165" s="121">
        <f t="shared" si="18"/>
        <v>-6.612738170654453E-2</v>
      </c>
      <c r="M165" s="120">
        <v>20641</v>
      </c>
      <c r="N165" s="121">
        <f t="shared" si="19"/>
        <v>7.7071592569400993E-2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4157</v>
      </c>
      <c r="F166" s="121" t="str">
        <f t="shared" si="18"/>
        <v>-</v>
      </c>
      <c r="G166" s="120">
        <v>15425</v>
      </c>
      <c r="H166" s="121">
        <f t="shared" si="18"/>
        <v>2.7106086119797932</v>
      </c>
      <c r="I166" s="120">
        <v>24238</v>
      </c>
      <c r="J166" s="121">
        <f t="shared" si="18"/>
        <v>0.57134521880064826</v>
      </c>
      <c r="K166" s="120">
        <v>23046</v>
      </c>
      <c r="L166" s="121">
        <f t="shared" si="18"/>
        <v>-4.9178975162967209E-2</v>
      </c>
      <c r="M166" s="120">
        <v>18693</v>
      </c>
      <c r="N166" s="121">
        <f t="shared" si="19"/>
        <v>-0.18888310335850034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8877</v>
      </c>
      <c r="F167" s="121" t="str">
        <f t="shared" si="18"/>
        <v>-</v>
      </c>
      <c r="G167" s="120">
        <v>14464</v>
      </c>
      <c r="H167" s="121">
        <f t="shared" si="18"/>
        <v>0.62937929480680399</v>
      </c>
      <c r="I167" s="120">
        <v>19331</v>
      </c>
      <c r="J167" s="121">
        <f t="shared" si="18"/>
        <v>0.33649059734513265</v>
      </c>
      <c r="K167" s="120">
        <v>18795</v>
      </c>
      <c r="L167" s="121">
        <f t="shared" si="18"/>
        <v>-2.7727484351559695E-2</v>
      </c>
      <c r="M167" s="120">
        <v>17212</v>
      </c>
      <c r="N167" s="121">
        <f t="shared" si="19"/>
        <v>-8.4224527799946824E-2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7506</v>
      </c>
      <c r="F168" s="121" t="str">
        <f t="shared" si="18"/>
        <v>-</v>
      </c>
      <c r="G168" s="120">
        <v>11078</v>
      </c>
      <c r="H168" s="121">
        <f t="shared" si="18"/>
        <v>0.47588595790034649</v>
      </c>
      <c r="I168" s="120">
        <v>16213</v>
      </c>
      <c r="J168" s="121">
        <f t="shared" si="18"/>
        <v>0.46353132334356384</v>
      </c>
      <c r="K168" s="120">
        <v>18025</v>
      </c>
      <c r="L168" s="121">
        <f t="shared" si="18"/>
        <v>0.11176216616295576</v>
      </c>
      <c r="M168" s="120">
        <v>15950</v>
      </c>
      <c r="N168" s="121">
        <f t="shared" si="19"/>
        <v>-0.11511789181692089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14469</v>
      </c>
      <c r="F169" s="121" t="str">
        <f t="shared" si="18"/>
        <v>-</v>
      </c>
      <c r="G169" s="120">
        <v>14696</v>
      </c>
      <c r="H169" s="121">
        <f t="shared" si="18"/>
        <v>1.5688713801921272E-2</v>
      </c>
      <c r="I169" s="120">
        <v>16776</v>
      </c>
      <c r="J169" s="121">
        <f t="shared" si="18"/>
        <v>0.14153511159499188</v>
      </c>
      <c r="K169" s="120">
        <v>21516</v>
      </c>
      <c r="L169" s="121">
        <f t="shared" si="18"/>
        <v>0.2825464949928469</v>
      </c>
      <c r="M169" s="120">
        <v>22140</v>
      </c>
      <c r="N169" s="121">
        <f t="shared" si="19"/>
        <v>2.9001673173452369E-2</v>
      </c>
    </row>
    <row r="170" spans="2:14" x14ac:dyDescent="0.25">
      <c r="B170" s="119" t="s">
        <v>88</v>
      </c>
      <c r="C170" s="120">
        <v>7582</v>
      </c>
      <c r="D170" s="121">
        <v>-0.62379676491019154</v>
      </c>
      <c r="E170" s="120">
        <v>19532</v>
      </c>
      <c r="F170" s="121">
        <f t="shared" si="18"/>
        <v>1.5761012925349513</v>
      </c>
      <c r="G170" s="120">
        <v>26445</v>
      </c>
      <c r="H170" s="121">
        <f t="shared" si="18"/>
        <v>0.35393200901085398</v>
      </c>
      <c r="I170" s="120">
        <v>28351</v>
      </c>
      <c r="J170" s="121">
        <f t="shared" si="18"/>
        <v>7.207411608999803E-2</v>
      </c>
      <c r="K170" s="120">
        <v>28603</v>
      </c>
      <c r="L170" s="121">
        <f t="shared" si="18"/>
        <v>8.8885753588938687E-3</v>
      </c>
      <c r="M170" s="120">
        <v>31303</v>
      </c>
      <c r="N170" s="121">
        <f t="shared" si="19"/>
        <v>9.439569275950066E-2</v>
      </c>
    </row>
    <row r="171" spans="2:14" x14ac:dyDescent="0.25">
      <c r="B171" s="119" t="s">
        <v>90</v>
      </c>
      <c r="C171" s="120">
        <v>2424</v>
      </c>
      <c r="D171" s="121">
        <v>-0.7991881368569298</v>
      </c>
      <c r="E171" s="120">
        <v>9241</v>
      </c>
      <c r="F171" s="121">
        <f t="shared" si="18"/>
        <v>2.8122937293729371</v>
      </c>
      <c r="G171" s="120">
        <v>15077</v>
      </c>
      <c r="H171" s="121">
        <f t="shared" si="18"/>
        <v>0.63153338383291846</v>
      </c>
      <c r="I171" s="120">
        <v>19988</v>
      </c>
      <c r="J171" s="121">
        <f t="shared" si="18"/>
        <v>0.32572792995954103</v>
      </c>
      <c r="K171" s="120">
        <v>18074</v>
      </c>
      <c r="L171" s="121">
        <f t="shared" si="18"/>
        <v>-9.5757454472683579E-2</v>
      </c>
      <c r="M171" s="120">
        <v>17557</v>
      </c>
      <c r="N171" s="121">
        <f t="shared" si="19"/>
        <v>-2.8604625428792718E-2</v>
      </c>
    </row>
    <row r="172" spans="2:14" x14ac:dyDescent="0.25">
      <c r="B172" s="119" t="s">
        <v>92</v>
      </c>
      <c r="C172" s="120">
        <v>7424</v>
      </c>
      <c r="D172" s="121">
        <v>-0.45563865669452996</v>
      </c>
      <c r="E172" s="120">
        <v>14695</v>
      </c>
      <c r="F172" s="121">
        <f t="shared" si="18"/>
        <v>0.97939116379310343</v>
      </c>
      <c r="G172" s="120">
        <v>19469</v>
      </c>
      <c r="H172" s="121">
        <f t="shared" si="18"/>
        <v>0.32487240558012931</v>
      </c>
      <c r="I172" s="120">
        <v>23246</v>
      </c>
      <c r="J172" s="121">
        <f t="shared" si="18"/>
        <v>0.19400071909188976</v>
      </c>
      <c r="K172" s="120">
        <v>21587</v>
      </c>
      <c r="L172" s="121">
        <f t="shared" si="18"/>
        <v>-7.1367116923341634E-2</v>
      </c>
      <c r="M172" s="120">
        <v>21510</v>
      </c>
      <c r="N172" s="121">
        <f t="shared" si="19"/>
        <v>-3.5669615972575563E-3</v>
      </c>
    </row>
    <row r="173" spans="2:14" x14ac:dyDescent="0.25">
      <c r="B173" s="119" t="s">
        <v>94</v>
      </c>
      <c r="C173" s="120">
        <v>1425</v>
      </c>
      <c r="D173" s="121">
        <v>-0.89326642199086215</v>
      </c>
      <c r="E173" s="120">
        <v>15308</v>
      </c>
      <c r="F173" s="121">
        <f t="shared" si="18"/>
        <v>9.7424561403508765</v>
      </c>
      <c r="G173" s="120">
        <v>14978</v>
      </c>
      <c r="H173" s="121">
        <f t="shared" si="18"/>
        <v>-2.1557355631042552E-2</v>
      </c>
      <c r="I173" s="120">
        <v>20932</v>
      </c>
      <c r="J173" s="121">
        <f t="shared" si="18"/>
        <v>0.39751635732407542</v>
      </c>
      <c r="K173" s="120">
        <v>18655</v>
      </c>
      <c r="L173" s="121">
        <f t="shared" si="18"/>
        <v>-0.10878081406459006</v>
      </c>
      <c r="M173" s="120">
        <v>18302</v>
      </c>
      <c r="N173" s="121">
        <f t="shared" si="19"/>
        <v>-1.8922540873760441E-2</v>
      </c>
    </row>
    <row r="174" spans="2:14" x14ac:dyDescent="0.25">
      <c r="B174" s="119" t="s">
        <v>96</v>
      </c>
      <c r="C174" s="120">
        <v>3667</v>
      </c>
      <c r="D174" s="121">
        <v>-0.6960126005139684</v>
      </c>
      <c r="E174" s="120">
        <v>15332</v>
      </c>
      <c r="F174" s="121">
        <f t="shared" si="18"/>
        <v>3.1810744477774744</v>
      </c>
      <c r="G174" s="120">
        <v>20052</v>
      </c>
      <c r="H174" s="121">
        <f t="shared" si="18"/>
        <v>0.30785285677015395</v>
      </c>
      <c r="I174" s="120">
        <v>19000</v>
      </c>
      <c r="J174" s="121">
        <f t="shared" si="18"/>
        <v>-5.2463594653899825E-2</v>
      </c>
      <c r="K174" s="120">
        <v>19682</v>
      </c>
      <c r="L174" s="121">
        <f t="shared" si="18"/>
        <v>3.5894736842105202E-2</v>
      </c>
      <c r="M174" s="120">
        <v>19820</v>
      </c>
      <c r="N174" s="121">
        <f t="shared" si="19"/>
        <v>7.0114825729092889E-3</v>
      </c>
    </row>
    <row r="175" spans="2:14" ht="15.75" x14ac:dyDescent="0.25">
      <c r="B175" s="122" t="s">
        <v>33</v>
      </c>
      <c r="C175" s="123">
        <v>67848</v>
      </c>
      <c r="D175" s="124">
        <v>-0.61970102069986044</v>
      </c>
      <c r="E175" s="123">
        <v>127385</v>
      </c>
      <c r="F175" s="124">
        <f t="shared" si="18"/>
        <v>0.87750560075462802</v>
      </c>
      <c r="G175" s="123">
        <v>198903</v>
      </c>
      <c r="H175" s="124">
        <f t="shared" si="18"/>
        <v>0.56143187973466269</v>
      </c>
      <c r="I175" s="123">
        <v>247768</v>
      </c>
      <c r="J175" s="124">
        <f t="shared" si="18"/>
        <v>0.24567251373785215</v>
      </c>
      <c r="K175" s="123">
        <v>245648</v>
      </c>
      <c r="L175" s="124">
        <f t="shared" si="18"/>
        <v>-8.556391462981483E-3</v>
      </c>
      <c r="M175" s="123">
        <v>247430</v>
      </c>
      <c r="N175" s="124">
        <v>7.2542825506416442E-3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</row>
    <row r="178" spans="1:15" x14ac:dyDescent="0.25">
      <c r="C178" s="125"/>
      <c r="K178" s="125"/>
      <c r="N178" s="81"/>
    </row>
    <row r="180" spans="1:15" ht="48.75" customHeight="1" thickBot="1" x14ac:dyDescent="0.3">
      <c r="B180" s="283" t="s">
        <v>290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$C$7</f>
        <v>2020</v>
      </c>
      <c r="D183" s="308"/>
      <c r="E183" s="309">
        <f>$E$7</f>
        <v>2021</v>
      </c>
      <c r="F183" s="308"/>
      <c r="G183" s="309">
        <f>$G$7</f>
        <v>2022</v>
      </c>
      <c r="H183" s="308"/>
      <c r="I183" s="309">
        <f>$I$7</f>
        <v>2023</v>
      </c>
      <c r="J183" s="308"/>
      <c r="K183" s="309">
        <f>$K$7</f>
        <v>2024</v>
      </c>
      <c r="L183" s="308"/>
      <c r="M183" s="309">
        <f>$M$7</f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CONCATENATE("var. ",RIGHT(C183,2),"/",RIGHT(C183-1,2))</f>
        <v>var. 20/19</v>
      </c>
      <c r="E184" s="118" t="s">
        <v>72</v>
      </c>
      <c r="F184" s="117" t="s">
        <v>254</v>
      </c>
      <c r="G184" s="118" t="s">
        <v>72</v>
      </c>
      <c r="H184" s="117" t="s">
        <v>254</v>
      </c>
      <c r="I184" s="118" t="s">
        <v>72</v>
      </c>
      <c r="J184" s="117" t="s">
        <v>254</v>
      </c>
      <c r="K184" s="118" t="s">
        <v>72</v>
      </c>
      <c r="L184" s="117" t="s">
        <v>254</v>
      </c>
      <c r="M184" s="118" t="s">
        <v>72</v>
      </c>
      <c r="N184" s="117" t="s">
        <v>283</v>
      </c>
    </row>
    <row r="185" spans="1:15" x14ac:dyDescent="0.25">
      <c r="A185" s="125"/>
      <c r="B185" s="119" t="s">
        <v>74</v>
      </c>
      <c r="C185" s="120">
        <v>37400</v>
      </c>
      <c r="D185" s="121">
        <v>0.15435661594493655</v>
      </c>
      <c r="E185" s="120">
        <v>2352</v>
      </c>
      <c r="F185" s="121">
        <f t="shared" ref="F185:L197" si="20">IFERROR(E185/C185-1,"-")</f>
        <v>-0.93711229946524066</v>
      </c>
      <c r="G185" s="120">
        <v>24134</v>
      </c>
      <c r="H185" s="121">
        <f t="shared" si="20"/>
        <v>9.2610544217687067</v>
      </c>
      <c r="I185" s="120">
        <v>34084</v>
      </c>
      <c r="J185" s="121">
        <f t="shared" si="20"/>
        <v>0.4122814286898151</v>
      </c>
      <c r="K185" s="120">
        <v>36621</v>
      </c>
      <c r="L185" s="121">
        <f t="shared" si="20"/>
        <v>7.4433751907053258E-2</v>
      </c>
      <c r="M185" s="120">
        <v>29962</v>
      </c>
      <c r="N185" s="121">
        <f t="shared" ref="N185:N196" si="21">IFERROR(M185/K185-1,"-")</f>
        <v>-0.18183555883236391</v>
      </c>
    </row>
    <row r="186" spans="1:15" x14ac:dyDescent="0.25">
      <c r="B186" s="119" t="s">
        <v>76</v>
      </c>
      <c r="C186" s="120">
        <v>29154</v>
      </c>
      <c r="D186" s="121">
        <v>0.17121966896995011</v>
      </c>
      <c r="E186" s="120">
        <v>692</v>
      </c>
      <c r="F186" s="121">
        <f t="shared" si="20"/>
        <v>-0.97626397749879945</v>
      </c>
      <c r="G186" s="120">
        <v>23097</v>
      </c>
      <c r="H186" s="121">
        <f t="shared" si="20"/>
        <v>32.377167630057805</v>
      </c>
      <c r="I186" s="120">
        <v>28094</v>
      </c>
      <c r="J186" s="121">
        <f t="shared" si="20"/>
        <v>0.21634844352080362</v>
      </c>
      <c r="K186" s="120">
        <v>31556</v>
      </c>
      <c r="L186" s="121">
        <f t="shared" si="20"/>
        <v>0.12322915925108568</v>
      </c>
      <c r="M186" s="120">
        <v>26211</v>
      </c>
      <c r="N186" s="121">
        <f t="shared" si="21"/>
        <v>-0.16938141716313859</v>
      </c>
    </row>
    <row r="187" spans="1:15" x14ac:dyDescent="0.25">
      <c r="B187" s="119" t="s">
        <v>78</v>
      </c>
      <c r="C187" s="120">
        <v>14426</v>
      </c>
      <c r="D187" s="121">
        <v>-0.47138145840967383</v>
      </c>
      <c r="E187" s="120">
        <v>644</v>
      </c>
      <c r="F187" s="121">
        <f t="shared" si="20"/>
        <v>-0.95535838070151113</v>
      </c>
      <c r="G187" s="120">
        <v>26029</v>
      </c>
      <c r="H187" s="121">
        <f t="shared" si="20"/>
        <v>39.41770186335404</v>
      </c>
      <c r="I187" s="120">
        <v>24451</v>
      </c>
      <c r="J187" s="121">
        <f t="shared" si="20"/>
        <v>-6.0624687848169323E-2</v>
      </c>
      <c r="K187" s="120">
        <v>29418</v>
      </c>
      <c r="L187" s="121">
        <f t="shared" si="20"/>
        <v>0.20314097582920954</v>
      </c>
      <c r="M187" s="120">
        <v>28764</v>
      </c>
      <c r="N187" s="121">
        <f t="shared" si="21"/>
        <v>-2.2231286967162922E-2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949</v>
      </c>
      <c r="F188" s="121" t="str">
        <f t="shared" si="20"/>
        <v>-</v>
      </c>
      <c r="G188" s="120">
        <v>26786</v>
      </c>
      <c r="H188" s="121">
        <f t="shared" si="20"/>
        <v>27.225500526870391</v>
      </c>
      <c r="I188" s="120">
        <v>29765</v>
      </c>
      <c r="J188" s="121">
        <f t="shared" si="20"/>
        <v>0.11121481370865371</v>
      </c>
      <c r="K188" s="120">
        <v>34774</v>
      </c>
      <c r="L188" s="121">
        <f t="shared" si="20"/>
        <v>0.16828489837056937</v>
      </c>
      <c r="M188" s="120">
        <v>20575</v>
      </c>
      <c r="N188" s="121">
        <f t="shared" si="21"/>
        <v>-0.4083223097716685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3125</v>
      </c>
      <c r="F189" s="121" t="str">
        <f t="shared" si="20"/>
        <v>-</v>
      </c>
      <c r="G189" s="120">
        <v>22076</v>
      </c>
      <c r="H189" s="121">
        <f t="shared" si="20"/>
        <v>6.0643200000000004</v>
      </c>
      <c r="I189" s="120">
        <v>28163</v>
      </c>
      <c r="J189" s="121">
        <f t="shared" si="20"/>
        <v>0.27572929878601204</v>
      </c>
      <c r="K189" s="120">
        <v>25349</v>
      </c>
      <c r="L189" s="121">
        <f t="shared" si="20"/>
        <v>-9.9918332564002399E-2</v>
      </c>
      <c r="M189" s="120">
        <v>25287</v>
      </c>
      <c r="N189" s="121">
        <f t="shared" si="21"/>
        <v>-2.445855852301837E-3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9995</v>
      </c>
      <c r="F190" s="121" t="str">
        <f t="shared" si="20"/>
        <v>-</v>
      </c>
      <c r="G190" s="120">
        <v>22144</v>
      </c>
      <c r="H190" s="121">
        <f t="shared" si="20"/>
        <v>1.2155077538769383</v>
      </c>
      <c r="I190" s="120">
        <v>26526</v>
      </c>
      <c r="J190" s="121">
        <f t="shared" si="20"/>
        <v>0.19788656069364152</v>
      </c>
      <c r="K190" s="120">
        <v>22751</v>
      </c>
      <c r="L190" s="121">
        <f t="shared" si="20"/>
        <v>-0.14231320214129528</v>
      </c>
      <c r="M190" s="120">
        <v>24911</v>
      </c>
      <c r="N190" s="121">
        <f t="shared" si="21"/>
        <v>9.4940881719484782E-2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17267</v>
      </c>
      <c r="F191" s="121" t="str">
        <f t="shared" si="20"/>
        <v>-</v>
      </c>
      <c r="G191" s="120">
        <v>30251</v>
      </c>
      <c r="H191" s="121">
        <f t="shared" si="20"/>
        <v>0.75195459547112997</v>
      </c>
      <c r="I191" s="120">
        <v>33458</v>
      </c>
      <c r="J191" s="121">
        <f t="shared" si="20"/>
        <v>0.106013024362831</v>
      </c>
      <c r="K191" s="120">
        <v>32743</v>
      </c>
      <c r="L191" s="121">
        <f t="shared" si="20"/>
        <v>-2.1370075916073872E-2</v>
      </c>
      <c r="M191" s="120">
        <v>30696</v>
      </c>
      <c r="N191" s="121">
        <f t="shared" si="21"/>
        <v>-6.2517179244418686E-2</v>
      </c>
    </row>
    <row r="192" spans="1:15" x14ac:dyDescent="0.25">
      <c r="B192" s="119" t="s">
        <v>88</v>
      </c>
      <c r="C192" s="120">
        <v>11092</v>
      </c>
      <c r="D192" s="121">
        <v>-0.5540545973545612</v>
      </c>
      <c r="E192" s="120">
        <v>18483</v>
      </c>
      <c r="F192" s="121">
        <f t="shared" si="20"/>
        <v>0.66633609808871253</v>
      </c>
      <c r="G192" s="120">
        <v>21835</v>
      </c>
      <c r="H192" s="121">
        <f t="shared" si="20"/>
        <v>0.18135584050208298</v>
      </c>
      <c r="I192" s="120">
        <v>31558</v>
      </c>
      <c r="J192" s="121">
        <f t="shared" si="20"/>
        <v>0.44529425234714903</v>
      </c>
      <c r="K192" s="120">
        <v>29115</v>
      </c>
      <c r="L192" s="121">
        <f t="shared" si="20"/>
        <v>-7.741301730147665E-2</v>
      </c>
      <c r="M192" s="120">
        <v>26398</v>
      </c>
      <c r="N192" s="121">
        <f t="shared" si="21"/>
        <v>-9.3319594710630227E-2</v>
      </c>
    </row>
    <row r="193" spans="2:15" x14ac:dyDescent="0.25">
      <c r="B193" s="119" t="s">
        <v>90</v>
      </c>
      <c r="C193" s="120">
        <v>17306</v>
      </c>
      <c r="D193" s="121">
        <v>-0.44301760484052655</v>
      </c>
      <c r="E193" s="120">
        <v>27344</v>
      </c>
      <c r="F193" s="121">
        <f t="shared" si="20"/>
        <v>0.58003004738241071</v>
      </c>
      <c r="G193" s="120">
        <v>28789</v>
      </c>
      <c r="H193" s="121">
        <f t="shared" si="20"/>
        <v>5.2845231129315495E-2</v>
      </c>
      <c r="I193" s="120">
        <v>33205</v>
      </c>
      <c r="J193" s="121">
        <f t="shared" si="20"/>
        <v>0.15339192052520056</v>
      </c>
      <c r="K193" s="120">
        <v>26955</v>
      </c>
      <c r="L193" s="121">
        <f t="shared" si="20"/>
        <v>-0.18822466496009638</v>
      </c>
      <c r="M193" s="120">
        <v>29961</v>
      </c>
      <c r="N193" s="121">
        <f t="shared" si="21"/>
        <v>0.11151919866444082</v>
      </c>
    </row>
    <row r="194" spans="2:15" x14ac:dyDescent="0.25">
      <c r="B194" s="119" t="s">
        <v>92</v>
      </c>
      <c r="C194" s="120">
        <v>8123</v>
      </c>
      <c r="D194" s="121">
        <v>-0.73589751926390745</v>
      </c>
      <c r="E194" s="120">
        <v>32377</v>
      </c>
      <c r="F194" s="121">
        <f t="shared" si="20"/>
        <v>2.9858426689646684</v>
      </c>
      <c r="G194" s="120">
        <v>28129</v>
      </c>
      <c r="H194" s="121">
        <f t="shared" si="20"/>
        <v>-0.13120424993050628</v>
      </c>
      <c r="I194" s="120">
        <v>34381</v>
      </c>
      <c r="J194" s="121">
        <f t="shared" si="20"/>
        <v>0.22226172277720502</v>
      </c>
      <c r="K194" s="120">
        <v>32149</v>
      </c>
      <c r="L194" s="121">
        <f t="shared" si="20"/>
        <v>-6.4919577673715145E-2</v>
      </c>
      <c r="M194" s="120">
        <v>31437</v>
      </c>
      <c r="N194" s="121">
        <f t="shared" si="21"/>
        <v>-2.2146878596534858E-2</v>
      </c>
    </row>
    <row r="195" spans="2:15" x14ac:dyDescent="0.25">
      <c r="B195" s="119" t="s">
        <v>94</v>
      </c>
      <c r="C195" s="120">
        <v>3107</v>
      </c>
      <c r="D195" s="121">
        <v>-0.89431972789115644</v>
      </c>
      <c r="E195" s="120">
        <v>37434</v>
      </c>
      <c r="F195" s="121">
        <f t="shared" si="20"/>
        <v>11.048278081750885</v>
      </c>
      <c r="G195" s="120">
        <v>29244</v>
      </c>
      <c r="H195" s="121">
        <f t="shared" si="20"/>
        <v>-0.21878506170860712</v>
      </c>
      <c r="I195" s="120">
        <v>31295</v>
      </c>
      <c r="J195" s="121">
        <f t="shared" si="20"/>
        <v>7.0134044590343336E-2</v>
      </c>
      <c r="K195" s="120">
        <v>30599</v>
      </c>
      <c r="L195" s="121">
        <f t="shared" si="20"/>
        <v>-2.2239974436811027E-2</v>
      </c>
      <c r="M195" s="120">
        <v>29879</v>
      </c>
      <c r="N195" s="121">
        <f t="shared" si="21"/>
        <v>-2.3530180724860239E-2</v>
      </c>
    </row>
    <row r="196" spans="2:15" x14ac:dyDescent="0.25">
      <c r="B196" s="119" t="s">
        <v>96</v>
      </c>
      <c r="C196" s="120">
        <v>4175</v>
      </c>
      <c r="D196" s="121">
        <v>-0.90026278069756327</v>
      </c>
      <c r="E196" s="120">
        <v>33539</v>
      </c>
      <c r="F196" s="121">
        <f t="shared" si="20"/>
        <v>7.0332934131736522</v>
      </c>
      <c r="G196" s="120">
        <v>36172</v>
      </c>
      <c r="H196" s="121">
        <f t="shared" si="20"/>
        <v>7.8505620322609548E-2</v>
      </c>
      <c r="I196" s="120">
        <v>39946</v>
      </c>
      <c r="J196" s="121">
        <f t="shared" si="20"/>
        <v>0.10433484463120646</v>
      </c>
      <c r="K196" s="120">
        <v>40752</v>
      </c>
      <c r="L196" s="121">
        <f t="shared" si="20"/>
        <v>2.0177239273018621E-2</v>
      </c>
      <c r="M196" s="120">
        <v>34793</v>
      </c>
      <c r="N196" s="121">
        <f t="shared" si="21"/>
        <v>-0.14622595210051037</v>
      </c>
    </row>
    <row r="197" spans="2:15" ht="15.75" x14ac:dyDescent="0.25">
      <c r="B197" s="122" t="s">
        <v>33</v>
      </c>
      <c r="C197" s="123">
        <v>131712</v>
      </c>
      <c r="D197" s="124">
        <v>-0.62753764581124072</v>
      </c>
      <c r="E197" s="123">
        <v>184201</v>
      </c>
      <c r="F197" s="124">
        <f t="shared" si="20"/>
        <v>0.39851342322643335</v>
      </c>
      <c r="G197" s="123">
        <v>318686</v>
      </c>
      <c r="H197" s="124">
        <f t="shared" si="20"/>
        <v>0.73009918512928818</v>
      </c>
      <c r="I197" s="123">
        <v>374926</v>
      </c>
      <c r="J197" s="124">
        <f t="shared" si="20"/>
        <v>0.17647464902756949</v>
      </c>
      <c r="K197" s="123">
        <v>372782</v>
      </c>
      <c r="L197" s="124">
        <f t="shared" si="20"/>
        <v>-5.7184617764571843E-3</v>
      </c>
      <c r="M197" s="123">
        <v>338874</v>
      </c>
      <c r="N197" s="124">
        <v>-9.0959327435337523E-2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C200" s="125"/>
      <c r="K200" s="125"/>
      <c r="N200" s="81"/>
    </row>
    <row r="202" spans="2:15" ht="48.75" customHeight="1" thickBot="1" x14ac:dyDescent="0.3">
      <c r="B202" s="283" t="s">
        <v>291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$C$7</f>
        <v>2020</v>
      </c>
      <c r="D205" s="308"/>
      <c r="E205" s="309">
        <f>$E$7</f>
        <v>2021</v>
      </c>
      <c r="F205" s="308"/>
      <c r="G205" s="309">
        <f>$G$7</f>
        <v>2022</v>
      </c>
      <c r="H205" s="308"/>
      <c r="I205" s="309">
        <f>$I$7</f>
        <v>2023</v>
      </c>
      <c r="J205" s="308"/>
      <c r="K205" s="309">
        <f>$K$7</f>
        <v>2024</v>
      </c>
      <c r="L205" s="308"/>
      <c r="M205" s="309">
        <f>$M$7</f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CONCATENATE("var. ",RIGHT(C205,2),"/",RIGHT(C205-1,2))</f>
        <v>var. 20/19</v>
      </c>
      <c r="E206" s="118" t="s">
        <v>72</v>
      </c>
      <c r="F206" s="117" t="s">
        <v>254</v>
      </c>
      <c r="G206" s="118" t="s">
        <v>72</v>
      </c>
      <c r="H206" s="117" t="s">
        <v>254</v>
      </c>
      <c r="I206" s="118" t="s">
        <v>72</v>
      </c>
      <c r="J206" s="117" t="s">
        <v>254</v>
      </c>
      <c r="K206" s="118" t="s">
        <v>72</v>
      </c>
      <c r="L206" s="117" t="s">
        <v>254</v>
      </c>
      <c r="M206" s="118" t="s">
        <v>72</v>
      </c>
      <c r="N206" s="117" t="s">
        <v>283</v>
      </c>
    </row>
    <row r="207" spans="2:15" x14ac:dyDescent="0.25">
      <c r="B207" s="119" t="s">
        <v>74</v>
      </c>
      <c r="C207" s="120">
        <v>36543</v>
      </c>
      <c r="D207" s="121">
        <v>5.7898850707813532E-2</v>
      </c>
      <c r="E207" s="120">
        <v>962</v>
      </c>
      <c r="F207" s="121">
        <f t="shared" ref="F207:L219" si="22">IFERROR(E207/C207-1,"-")</f>
        <v>-0.97367484880825328</v>
      </c>
      <c r="G207" s="120">
        <v>33158</v>
      </c>
      <c r="H207" s="121">
        <f t="shared" si="22"/>
        <v>33.467775467775468</v>
      </c>
      <c r="I207" s="120">
        <v>37744</v>
      </c>
      <c r="J207" s="121">
        <f t="shared" si="22"/>
        <v>0.13830749743651616</v>
      </c>
      <c r="K207" s="120">
        <v>41040</v>
      </c>
      <c r="L207" s="121">
        <f t="shared" si="22"/>
        <v>8.7325137770241534E-2</v>
      </c>
      <c r="M207" s="120">
        <v>35525</v>
      </c>
      <c r="N207" s="121">
        <f t="shared" ref="N207:N218" si="23">IFERROR(M207/K207-1,"-")</f>
        <v>-0.13438109161793377</v>
      </c>
    </row>
    <row r="208" spans="2:15" x14ac:dyDescent="0.25">
      <c r="B208" s="119" t="s">
        <v>76</v>
      </c>
      <c r="C208" s="120">
        <v>36529</v>
      </c>
      <c r="D208" s="121">
        <v>1.9679544439481944E-2</v>
      </c>
      <c r="E208" s="120">
        <v>736</v>
      </c>
      <c r="F208" s="121">
        <f t="shared" si="22"/>
        <v>-0.97985162473651077</v>
      </c>
      <c r="G208" s="120">
        <v>31142</v>
      </c>
      <c r="H208" s="121">
        <f t="shared" si="22"/>
        <v>41.3125</v>
      </c>
      <c r="I208" s="120">
        <v>38159</v>
      </c>
      <c r="J208" s="121">
        <f t="shared" si="22"/>
        <v>0.22532271530409087</v>
      </c>
      <c r="K208" s="120">
        <v>40584</v>
      </c>
      <c r="L208" s="121">
        <f t="shared" si="22"/>
        <v>6.3549883382688188E-2</v>
      </c>
      <c r="M208" s="120">
        <v>39705</v>
      </c>
      <c r="N208" s="121">
        <f t="shared" si="23"/>
        <v>-2.1658781785925507E-2</v>
      </c>
    </row>
    <row r="209" spans="2:15" x14ac:dyDescent="0.25">
      <c r="B209" s="119" t="s">
        <v>78</v>
      </c>
      <c r="C209" s="120">
        <v>14903</v>
      </c>
      <c r="D209" s="121">
        <v>-0.56374227920728315</v>
      </c>
      <c r="E209" s="120">
        <v>704</v>
      </c>
      <c r="F209" s="121">
        <f t="shared" si="22"/>
        <v>-0.95276118902234452</v>
      </c>
      <c r="G209" s="120">
        <v>37658</v>
      </c>
      <c r="H209" s="121">
        <f t="shared" si="22"/>
        <v>52.491477272727273</v>
      </c>
      <c r="I209" s="120">
        <v>34053</v>
      </c>
      <c r="J209" s="121">
        <f t="shared" si="22"/>
        <v>-9.5729990971373913E-2</v>
      </c>
      <c r="K209" s="120">
        <v>33027</v>
      </c>
      <c r="L209" s="121">
        <f t="shared" si="22"/>
        <v>-3.0129504008457375E-2</v>
      </c>
      <c r="M209" s="120">
        <v>35886</v>
      </c>
      <c r="N209" s="121">
        <f t="shared" si="23"/>
        <v>8.6565537287673688E-2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573</v>
      </c>
      <c r="F210" s="121" t="str">
        <f t="shared" si="22"/>
        <v>-</v>
      </c>
      <c r="G210" s="120">
        <v>39062</v>
      </c>
      <c r="H210" s="121">
        <f t="shared" si="22"/>
        <v>67.171029668411862</v>
      </c>
      <c r="I210" s="120">
        <v>39077</v>
      </c>
      <c r="J210" s="121">
        <f t="shared" si="22"/>
        <v>3.8400491526302538E-4</v>
      </c>
      <c r="K210" s="120">
        <v>40882</v>
      </c>
      <c r="L210" s="121">
        <f t="shared" si="22"/>
        <v>4.619085395501199E-2</v>
      </c>
      <c r="M210" s="120">
        <v>34317</v>
      </c>
      <c r="N210" s="121">
        <f t="shared" si="23"/>
        <v>-0.16058412015067758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2269</v>
      </c>
      <c r="F211" s="121" t="str">
        <f t="shared" si="22"/>
        <v>-</v>
      </c>
      <c r="G211" s="120">
        <v>47122</v>
      </c>
      <c r="H211" s="121">
        <f t="shared" si="22"/>
        <v>19.767739092111061</v>
      </c>
      <c r="I211" s="120">
        <v>38759</v>
      </c>
      <c r="J211" s="121">
        <f t="shared" si="22"/>
        <v>-0.17747548915580835</v>
      </c>
      <c r="K211" s="120">
        <v>41406</v>
      </c>
      <c r="L211" s="121">
        <f t="shared" si="22"/>
        <v>6.8293815629918209E-2</v>
      </c>
      <c r="M211" s="120">
        <v>32381</v>
      </c>
      <c r="N211" s="121">
        <f t="shared" si="23"/>
        <v>-0.21796358015746509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16579</v>
      </c>
      <c r="F212" s="121" t="str">
        <f t="shared" si="22"/>
        <v>-</v>
      </c>
      <c r="G212" s="120">
        <v>34341</v>
      </c>
      <c r="H212" s="121">
        <f t="shared" si="22"/>
        <v>1.0713553290307014</v>
      </c>
      <c r="I212" s="120">
        <v>38151</v>
      </c>
      <c r="J212" s="121">
        <f t="shared" si="22"/>
        <v>0.1109460994146938</v>
      </c>
      <c r="K212" s="120">
        <v>35459</v>
      </c>
      <c r="L212" s="121">
        <f t="shared" si="22"/>
        <v>-7.0561715289245375E-2</v>
      </c>
      <c r="M212" s="120">
        <v>31460</v>
      </c>
      <c r="N212" s="121">
        <f t="shared" si="23"/>
        <v>-0.11277813813136295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24677</v>
      </c>
      <c r="F213" s="121" t="str">
        <f t="shared" si="22"/>
        <v>-</v>
      </c>
      <c r="G213" s="120">
        <v>47180</v>
      </c>
      <c r="H213" s="121">
        <f t="shared" si="22"/>
        <v>0.91190177087976654</v>
      </c>
      <c r="I213" s="120">
        <v>46475</v>
      </c>
      <c r="J213" s="121">
        <f t="shared" si="22"/>
        <v>-1.4942772361170031E-2</v>
      </c>
      <c r="K213" s="120">
        <v>44935</v>
      </c>
      <c r="L213" s="121">
        <f t="shared" si="22"/>
        <v>-3.3136094674556249E-2</v>
      </c>
      <c r="M213" s="120">
        <v>45115</v>
      </c>
      <c r="N213" s="121">
        <f t="shared" si="23"/>
        <v>4.0057861355291546E-3</v>
      </c>
    </row>
    <row r="214" spans="2:15" x14ac:dyDescent="0.25">
      <c r="B214" s="119" t="s">
        <v>88</v>
      </c>
      <c r="C214" s="120">
        <v>14171</v>
      </c>
      <c r="D214" s="121">
        <v>-0.74963339870320311</v>
      </c>
      <c r="E214" s="120">
        <v>32393</v>
      </c>
      <c r="F214" s="121">
        <f t="shared" si="22"/>
        <v>1.2858654999647166</v>
      </c>
      <c r="G214" s="120">
        <v>56250</v>
      </c>
      <c r="H214" s="121">
        <f t="shared" si="22"/>
        <v>0.73648627789954624</v>
      </c>
      <c r="I214" s="120">
        <v>60423</v>
      </c>
      <c r="J214" s="121">
        <f t="shared" si="22"/>
        <v>7.4186666666666623E-2</v>
      </c>
      <c r="K214" s="120">
        <v>53292</v>
      </c>
      <c r="L214" s="121">
        <f t="shared" si="22"/>
        <v>-0.11801797328831731</v>
      </c>
      <c r="M214" s="120">
        <v>51944</v>
      </c>
      <c r="N214" s="121">
        <f t="shared" si="23"/>
        <v>-2.5294603317571163E-2</v>
      </c>
    </row>
    <row r="215" spans="2:15" x14ac:dyDescent="0.25">
      <c r="B215" s="119" t="s">
        <v>90</v>
      </c>
      <c r="C215" s="120">
        <v>592</v>
      </c>
      <c r="D215" s="121">
        <v>-0.98391479187044883</v>
      </c>
      <c r="E215" s="120">
        <v>40044</v>
      </c>
      <c r="F215" s="121">
        <f t="shared" si="22"/>
        <v>66.641891891891888</v>
      </c>
      <c r="G215" s="120">
        <v>48135</v>
      </c>
      <c r="H215" s="121">
        <f t="shared" si="22"/>
        <v>0.20205274198381784</v>
      </c>
      <c r="I215" s="120">
        <v>45100</v>
      </c>
      <c r="J215" s="121">
        <f t="shared" si="22"/>
        <v>-6.3051833385270539E-2</v>
      </c>
      <c r="K215" s="120">
        <v>42045</v>
      </c>
      <c r="L215" s="121">
        <f t="shared" si="22"/>
        <v>-6.7738359201773846E-2</v>
      </c>
      <c r="M215" s="120">
        <v>43076</v>
      </c>
      <c r="N215" s="121">
        <f t="shared" si="23"/>
        <v>2.4521346176715531E-2</v>
      </c>
    </row>
    <row r="216" spans="2:15" x14ac:dyDescent="0.25">
      <c r="B216" s="119" t="s">
        <v>92</v>
      </c>
      <c r="C216" s="120">
        <v>1075</v>
      </c>
      <c r="D216" s="121">
        <v>-0.97094280462752725</v>
      </c>
      <c r="E216" s="120">
        <v>49996</v>
      </c>
      <c r="F216" s="121">
        <f t="shared" si="22"/>
        <v>45.507906976744188</v>
      </c>
      <c r="G216" s="120">
        <v>37257</v>
      </c>
      <c r="H216" s="121">
        <f t="shared" si="22"/>
        <v>-0.25480038403072247</v>
      </c>
      <c r="I216" s="120">
        <v>47048</v>
      </c>
      <c r="J216" s="121">
        <f t="shared" si="22"/>
        <v>0.2627962530531176</v>
      </c>
      <c r="K216" s="120">
        <v>49338</v>
      </c>
      <c r="L216" s="121">
        <f t="shared" si="22"/>
        <v>4.8673694949838531E-2</v>
      </c>
      <c r="M216" s="120">
        <v>42491</v>
      </c>
      <c r="N216" s="121">
        <f t="shared" si="23"/>
        <v>-0.13877741294742385</v>
      </c>
    </row>
    <row r="217" spans="2:15" x14ac:dyDescent="0.25">
      <c r="B217" s="119" t="s">
        <v>94</v>
      </c>
      <c r="C217" s="120">
        <v>3587</v>
      </c>
      <c r="D217" s="121">
        <v>-0.87237146415228606</v>
      </c>
      <c r="E217" s="120">
        <v>36800</v>
      </c>
      <c r="F217" s="121">
        <f t="shared" si="22"/>
        <v>9.2592695846110953</v>
      </c>
      <c r="G217" s="120">
        <v>31131</v>
      </c>
      <c r="H217" s="121">
        <f t="shared" si="22"/>
        <v>-0.15404891304347823</v>
      </c>
      <c r="I217" s="120">
        <v>36228</v>
      </c>
      <c r="J217" s="121">
        <f t="shared" si="22"/>
        <v>0.16372747422183664</v>
      </c>
      <c r="K217" s="120">
        <v>38626</v>
      </c>
      <c r="L217" s="121">
        <f t="shared" si="22"/>
        <v>6.6191895771226639E-2</v>
      </c>
      <c r="M217" s="120">
        <v>36805</v>
      </c>
      <c r="N217" s="121">
        <f t="shared" si="23"/>
        <v>-4.7144410500699063E-2</v>
      </c>
    </row>
    <row r="218" spans="2:15" x14ac:dyDescent="0.25">
      <c r="B218" s="119" t="s">
        <v>96</v>
      </c>
      <c r="C218" s="120">
        <v>4288</v>
      </c>
      <c r="D218" s="121">
        <v>-0.86672468452787965</v>
      </c>
      <c r="E218" s="120">
        <v>34190</v>
      </c>
      <c r="F218" s="121">
        <f t="shared" si="22"/>
        <v>6.9734141791044779</v>
      </c>
      <c r="G218" s="120">
        <v>34614</v>
      </c>
      <c r="H218" s="121">
        <f t="shared" si="22"/>
        <v>1.2401286926001731E-2</v>
      </c>
      <c r="I218" s="120">
        <v>39875</v>
      </c>
      <c r="J218" s="121">
        <f t="shared" si="22"/>
        <v>0.15199052406540714</v>
      </c>
      <c r="K218" s="120">
        <v>39037</v>
      </c>
      <c r="L218" s="121">
        <f t="shared" si="22"/>
        <v>-2.1015673981191196E-2</v>
      </c>
      <c r="M218" s="120">
        <v>35841</v>
      </c>
      <c r="N218" s="121">
        <f t="shared" si="23"/>
        <v>-8.187104541844914E-2</v>
      </c>
    </row>
    <row r="219" spans="2:15" ht="15.75" x14ac:dyDescent="0.25">
      <c r="B219" s="122" t="s">
        <v>33</v>
      </c>
      <c r="C219" s="123">
        <v>124287</v>
      </c>
      <c r="D219" s="124">
        <v>-0.72470961911596632</v>
      </c>
      <c r="E219" s="123">
        <v>239923</v>
      </c>
      <c r="F219" s="124">
        <f t="shared" si="22"/>
        <v>0.93039497292556739</v>
      </c>
      <c r="G219" s="123">
        <v>477050</v>
      </c>
      <c r="H219" s="124">
        <f t="shared" si="22"/>
        <v>0.98834626109210033</v>
      </c>
      <c r="I219" s="123">
        <v>501092</v>
      </c>
      <c r="J219" s="124">
        <f t="shared" si="22"/>
        <v>5.0397232994445096E-2</v>
      </c>
      <c r="K219" s="123">
        <v>499671</v>
      </c>
      <c r="L219" s="124">
        <f t="shared" si="22"/>
        <v>-2.8358065983891123E-3</v>
      </c>
      <c r="M219" s="123">
        <v>464546</v>
      </c>
      <c r="N219" s="124">
        <v>-7.029625493574776E-2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C222" s="125"/>
      <c r="K222" s="125"/>
      <c r="N222" s="81"/>
    </row>
    <row r="224" spans="2:15" ht="48.75" customHeight="1" thickBot="1" x14ac:dyDescent="0.3">
      <c r="B224" s="283" t="s">
        <v>292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152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153</v>
      </c>
    </row>
    <row r="226" spans="2:15" ht="22.5" thickTop="1" thickBot="1" x14ac:dyDescent="0.3">
      <c r="B226" s="126" t="str">
        <f>C226</f>
        <v>Dinamarca</v>
      </c>
      <c r="C226" s="305" t="s">
        <v>131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$C$7</f>
        <v>2020</v>
      </c>
      <c r="D227" s="308"/>
      <c r="E227" s="309">
        <f>$E$7</f>
        <v>2021</v>
      </c>
      <c r="F227" s="308"/>
      <c r="G227" s="309">
        <f>$G$7</f>
        <v>2022</v>
      </c>
      <c r="H227" s="308"/>
      <c r="I227" s="309">
        <f>$I$7</f>
        <v>2023</v>
      </c>
      <c r="J227" s="308"/>
      <c r="K227" s="309">
        <f>$K$7</f>
        <v>2024</v>
      </c>
      <c r="L227" s="308"/>
      <c r="M227" s="309">
        <f>$M$7</f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CONCATENATE("var. ",RIGHT(C227,2),"/",RIGHT(C227-1,2))</f>
        <v>var. 20/19</v>
      </c>
      <c r="E228" s="118" t="s">
        <v>72</v>
      </c>
      <c r="F228" s="117" t="s">
        <v>254</v>
      </c>
      <c r="G228" s="118" t="s">
        <v>72</v>
      </c>
      <c r="H228" s="117" t="s">
        <v>254</v>
      </c>
      <c r="I228" s="118" t="s">
        <v>72</v>
      </c>
      <c r="J228" s="117" t="s">
        <v>254</v>
      </c>
      <c r="K228" s="118" t="s">
        <v>72</v>
      </c>
      <c r="L228" s="117" t="s">
        <v>254</v>
      </c>
      <c r="M228" s="118" t="s">
        <v>72</v>
      </c>
      <c r="N228" s="117" t="s">
        <v>283</v>
      </c>
    </row>
    <row r="229" spans="2:15" x14ac:dyDescent="0.25">
      <c r="B229" s="119" t="s">
        <v>74</v>
      </c>
      <c r="C229" s="120">
        <v>33066</v>
      </c>
      <c r="D229" s="121">
        <v>-9.9092717216576309E-2</v>
      </c>
      <c r="E229" s="120">
        <v>308</v>
      </c>
      <c r="F229" s="121">
        <f t="shared" ref="F229:L241" si="24">IFERROR(E229/C229-1,"-")</f>
        <v>-0.99068529607451761</v>
      </c>
      <c r="G229" s="120">
        <v>27584</v>
      </c>
      <c r="H229" s="121">
        <f t="shared" si="24"/>
        <v>88.558441558441558</v>
      </c>
      <c r="I229" s="120">
        <v>28081</v>
      </c>
      <c r="J229" s="121">
        <f t="shared" si="24"/>
        <v>1.8017691415313175E-2</v>
      </c>
      <c r="K229" s="120">
        <v>29190</v>
      </c>
      <c r="L229" s="121">
        <f t="shared" si="24"/>
        <v>3.949289555215274E-2</v>
      </c>
      <c r="M229" s="120">
        <v>32181</v>
      </c>
      <c r="N229" s="121">
        <f t="shared" ref="N229:N240" si="25">IFERROR(M229/K229-1,"-")</f>
        <v>0.10246659815005144</v>
      </c>
    </row>
    <row r="230" spans="2:15" x14ac:dyDescent="0.25">
      <c r="B230" s="119" t="s">
        <v>76</v>
      </c>
      <c r="C230" s="120">
        <v>34156</v>
      </c>
      <c r="D230" s="121">
        <v>-4.3329692182729751E-2</v>
      </c>
      <c r="E230" s="120">
        <v>207</v>
      </c>
      <c r="F230" s="121">
        <f t="shared" si="24"/>
        <v>-0.99393957137838151</v>
      </c>
      <c r="G230" s="120">
        <v>28945</v>
      </c>
      <c r="H230" s="121">
        <f t="shared" si="24"/>
        <v>138.83091787439614</v>
      </c>
      <c r="I230" s="120">
        <v>34359</v>
      </c>
      <c r="J230" s="121">
        <f t="shared" si="24"/>
        <v>0.18704439454137156</v>
      </c>
      <c r="K230" s="120">
        <v>31973</v>
      </c>
      <c r="L230" s="121">
        <f t="shared" si="24"/>
        <v>-6.9443231758782309E-2</v>
      </c>
      <c r="M230" s="120">
        <v>30102</v>
      </c>
      <c r="N230" s="121">
        <f t="shared" si="25"/>
        <v>-5.8518124667688354E-2</v>
      </c>
    </row>
    <row r="231" spans="2:15" x14ac:dyDescent="0.25">
      <c r="B231" s="119" t="s">
        <v>78</v>
      </c>
      <c r="C231" s="120">
        <v>18520</v>
      </c>
      <c r="D231" s="121">
        <v>-0.54898570489248222</v>
      </c>
      <c r="E231" s="120">
        <v>295</v>
      </c>
      <c r="F231" s="121">
        <f t="shared" si="24"/>
        <v>-0.98407127429805619</v>
      </c>
      <c r="G231" s="120">
        <v>27402</v>
      </c>
      <c r="H231" s="121">
        <f t="shared" si="24"/>
        <v>91.888135593220341</v>
      </c>
      <c r="I231" s="120">
        <v>32644</v>
      </c>
      <c r="J231" s="121">
        <f t="shared" si="24"/>
        <v>0.19129990511641481</v>
      </c>
      <c r="K231" s="120">
        <v>30472</v>
      </c>
      <c r="L231" s="121">
        <f t="shared" si="24"/>
        <v>-6.6535963729935088E-2</v>
      </c>
      <c r="M231" s="120">
        <v>31474</v>
      </c>
      <c r="N231" s="121">
        <f t="shared" si="25"/>
        <v>3.2882646363874946E-2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107</v>
      </c>
      <c r="F232" s="121" t="str">
        <f t="shared" si="24"/>
        <v>-</v>
      </c>
      <c r="G232" s="120">
        <v>14540</v>
      </c>
      <c r="H232" s="121">
        <f t="shared" si="24"/>
        <v>134.88785046728972</v>
      </c>
      <c r="I232" s="120">
        <v>16479</v>
      </c>
      <c r="J232" s="121">
        <f t="shared" si="24"/>
        <v>0.13335625859697386</v>
      </c>
      <c r="K232" s="120">
        <v>12896</v>
      </c>
      <c r="L232" s="121">
        <f t="shared" si="24"/>
        <v>-0.21742824200497601</v>
      </c>
      <c r="M232" s="120">
        <v>18959</v>
      </c>
      <c r="N232" s="121">
        <f t="shared" si="25"/>
        <v>0.47014578163771703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33</v>
      </c>
      <c r="F233" s="121" t="str">
        <f t="shared" si="24"/>
        <v>-</v>
      </c>
      <c r="G233" s="120">
        <v>3257</v>
      </c>
      <c r="H233" s="121">
        <f t="shared" si="24"/>
        <v>97.696969696969703</v>
      </c>
      <c r="I233" s="120">
        <v>3226</v>
      </c>
      <c r="J233" s="121">
        <f t="shared" si="24"/>
        <v>-9.517961314092771E-3</v>
      </c>
      <c r="K233" s="120">
        <v>4569</v>
      </c>
      <c r="L233" s="121">
        <f t="shared" si="24"/>
        <v>0.4163050216986981</v>
      </c>
      <c r="M233" s="120">
        <v>4021</v>
      </c>
      <c r="N233" s="121">
        <f t="shared" si="25"/>
        <v>-0.11993871744364193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420</v>
      </c>
      <c r="F234" s="121" t="str">
        <f t="shared" si="24"/>
        <v>-</v>
      </c>
      <c r="G234" s="120">
        <v>2257</v>
      </c>
      <c r="H234" s="121">
        <f t="shared" si="24"/>
        <v>4.3738095238095234</v>
      </c>
      <c r="I234" s="120">
        <v>4389</v>
      </c>
      <c r="J234" s="121">
        <f t="shared" si="24"/>
        <v>0.94461674789543637</v>
      </c>
      <c r="K234" s="120">
        <v>3883</v>
      </c>
      <c r="L234" s="121">
        <f t="shared" si="24"/>
        <v>-0.11528822055137844</v>
      </c>
      <c r="M234" s="120">
        <v>3158</v>
      </c>
      <c r="N234" s="121">
        <f t="shared" si="25"/>
        <v>-0.18671130569147565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6238</v>
      </c>
      <c r="F235" s="121" t="str">
        <f t="shared" si="24"/>
        <v>-</v>
      </c>
      <c r="G235" s="120">
        <v>7344</v>
      </c>
      <c r="H235" s="121">
        <f t="shared" si="24"/>
        <v>0.17730041680025654</v>
      </c>
      <c r="I235" s="120">
        <v>3898</v>
      </c>
      <c r="J235" s="121">
        <f t="shared" si="24"/>
        <v>-0.46922657952069713</v>
      </c>
      <c r="K235" s="120">
        <v>4602</v>
      </c>
      <c r="L235" s="121">
        <f t="shared" si="24"/>
        <v>0.18060543868650591</v>
      </c>
      <c r="M235" s="120">
        <v>4771</v>
      </c>
      <c r="N235" s="121">
        <f t="shared" si="25"/>
        <v>3.672316384180796E-2</v>
      </c>
    </row>
    <row r="236" spans="2:15" x14ac:dyDescent="0.25">
      <c r="B236" s="119" t="s">
        <v>88</v>
      </c>
      <c r="C236" s="120">
        <v>98</v>
      </c>
      <c r="D236" s="121">
        <v>-0.97674418604651159</v>
      </c>
      <c r="E236" s="120">
        <v>5358</v>
      </c>
      <c r="F236" s="121">
        <f t="shared" si="24"/>
        <v>53.673469387755105</v>
      </c>
      <c r="G236" s="120">
        <v>6474</v>
      </c>
      <c r="H236" s="121">
        <f t="shared" si="24"/>
        <v>0.20828667413213875</v>
      </c>
      <c r="I236" s="120">
        <v>3011</v>
      </c>
      <c r="J236" s="121">
        <f t="shared" si="24"/>
        <v>-0.53490886623416745</v>
      </c>
      <c r="K236" s="120">
        <v>3794</v>
      </c>
      <c r="L236" s="121">
        <f t="shared" si="24"/>
        <v>0.26004649618067077</v>
      </c>
      <c r="M236" s="120">
        <v>3288</v>
      </c>
      <c r="N236" s="121">
        <f t="shared" si="25"/>
        <v>-0.13336847654190831</v>
      </c>
    </row>
    <row r="237" spans="2:15" x14ac:dyDescent="0.25">
      <c r="B237" s="119" t="s">
        <v>90</v>
      </c>
      <c r="C237" s="120">
        <v>22</v>
      </c>
      <c r="D237" s="121">
        <v>-0.99596478356566398</v>
      </c>
      <c r="E237" s="120">
        <v>4435</v>
      </c>
      <c r="F237" s="121">
        <f t="shared" si="24"/>
        <v>200.59090909090909</v>
      </c>
      <c r="G237" s="120">
        <v>4878</v>
      </c>
      <c r="H237" s="121">
        <f t="shared" si="24"/>
        <v>9.9887260428410451E-2</v>
      </c>
      <c r="I237" s="120">
        <v>3511</v>
      </c>
      <c r="J237" s="121">
        <f t="shared" si="24"/>
        <v>-0.28023780237802376</v>
      </c>
      <c r="K237" s="120">
        <v>4211</v>
      </c>
      <c r="L237" s="121">
        <f t="shared" si="24"/>
        <v>0.19937339789233843</v>
      </c>
      <c r="M237" s="120">
        <v>3500</v>
      </c>
      <c r="N237" s="121">
        <f t="shared" si="25"/>
        <v>-0.16884350510567558</v>
      </c>
    </row>
    <row r="238" spans="2:15" x14ac:dyDescent="0.25">
      <c r="B238" s="119" t="s">
        <v>92</v>
      </c>
      <c r="C238" s="120">
        <v>144</v>
      </c>
      <c r="D238" s="121">
        <v>-0.98942343004039657</v>
      </c>
      <c r="E238" s="120">
        <v>16294</v>
      </c>
      <c r="F238" s="121">
        <f t="shared" si="24"/>
        <v>112.15277777777777</v>
      </c>
      <c r="G238" s="120">
        <v>14250</v>
      </c>
      <c r="H238" s="121">
        <f t="shared" si="24"/>
        <v>-0.12544494906100401</v>
      </c>
      <c r="I238" s="120">
        <v>13071</v>
      </c>
      <c r="J238" s="121">
        <f t="shared" si="24"/>
        <v>-8.2736842105263109E-2</v>
      </c>
      <c r="K238" s="120">
        <v>11574</v>
      </c>
      <c r="L238" s="121">
        <f t="shared" si="24"/>
        <v>-0.11452834519164568</v>
      </c>
      <c r="M238" s="120">
        <v>12468</v>
      </c>
      <c r="N238" s="121">
        <f t="shared" si="25"/>
        <v>7.7242094349403878E-2</v>
      </c>
    </row>
    <row r="239" spans="2:15" x14ac:dyDescent="0.25">
      <c r="B239" s="119" t="s">
        <v>94</v>
      </c>
      <c r="C239" s="120">
        <v>219</v>
      </c>
      <c r="D239" s="121">
        <v>-0.9912087029826181</v>
      </c>
      <c r="E239" s="120">
        <v>25333</v>
      </c>
      <c r="F239" s="121">
        <f t="shared" si="24"/>
        <v>114.67579908675799</v>
      </c>
      <c r="G239" s="120">
        <v>25858</v>
      </c>
      <c r="H239" s="121">
        <f t="shared" si="24"/>
        <v>2.0723956894169726E-2</v>
      </c>
      <c r="I239" s="120">
        <v>23720</v>
      </c>
      <c r="J239" s="121">
        <f t="shared" si="24"/>
        <v>-8.2682342021811461E-2</v>
      </c>
      <c r="K239" s="120">
        <v>24371</v>
      </c>
      <c r="L239" s="121">
        <f t="shared" si="24"/>
        <v>2.7445193929173772E-2</v>
      </c>
      <c r="M239" s="120">
        <v>23703</v>
      </c>
      <c r="N239" s="121">
        <f t="shared" si="25"/>
        <v>-2.7409626195067927E-2</v>
      </c>
    </row>
    <row r="240" spans="2:15" x14ac:dyDescent="0.25">
      <c r="B240" s="119" t="s">
        <v>96</v>
      </c>
      <c r="C240" s="120">
        <v>305</v>
      </c>
      <c r="D240" s="121">
        <v>-0.99059744743818978</v>
      </c>
      <c r="E240" s="120">
        <v>22805</v>
      </c>
      <c r="F240" s="121">
        <f t="shared" si="24"/>
        <v>73.770491803278688</v>
      </c>
      <c r="G240" s="120">
        <v>22903</v>
      </c>
      <c r="H240" s="121">
        <f t="shared" si="24"/>
        <v>4.2973032229773889E-3</v>
      </c>
      <c r="I240" s="120">
        <v>21949</v>
      </c>
      <c r="J240" s="121">
        <f t="shared" si="24"/>
        <v>-4.1653931799327637E-2</v>
      </c>
      <c r="K240" s="120">
        <v>25573</v>
      </c>
      <c r="L240" s="121">
        <f t="shared" si="24"/>
        <v>0.16511002779169903</v>
      </c>
      <c r="M240" s="120">
        <v>20916</v>
      </c>
      <c r="N240" s="121">
        <f t="shared" si="25"/>
        <v>-0.18210612755640709</v>
      </c>
    </row>
    <row r="241" spans="2:15" ht="15.75" x14ac:dyDescent="0.25">
      <c r="B241" s="122" t="s">
        <v>33</v>
      </c>
      <c r="C241" s="123">
        <v>86739</v>
      </c>
      <c r="D241" s="124">
        <v>-0.61904113559902674</v>
      </c>
      <c r="E241" s="123">
        <v>81833</v>
      </c>
      <c r="F241" s="124">
        <f t="shared" si="24"/>
        <v>-5.6560486055868719E-2</v>
      </c>
      <c r="G241" s="123">
        <v>185692</v>
      </c>
      <c r="H241" s="124">
        <f t="shared" si="24"/>
        <v>1.2691579191768603</v>
      </c>
      <c r="I241" s="123">
        <v>188338</v>
      </c>
      <c r="J241" s="124">
        <f t="shared" si="24"/>
        <v>1.4249402235960718E-2</v>
      </c>
      <c r="K241" s="123">
        <v>187108</v>
      </c>
      <c r="L241" s="124">
        <f t="shared" si="24"/>
        <v>-6.5308116259066296E-3</v>
      </c>
      <c r="M241" s="123">
        <v>188541</v>
      </c>
      <c r="N241" s="124">
        <v>7.6586784103298555E-3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N244" s="81"/>
    </row>
    <row r="250" spans="2:15" ht="48.75" customHeight="1" thickBot="1" x14ac:dyDescent="0.3">
      <c r="B250" s="283" t="s">
        <v>293</v>
      </c>
      <c r="C250" s="283"/>
      <c r="D250" s="283"/>
      <c r="E250" s="283"/>
      <c r="F250" s="283"/>
      <c r="G250" s="283"/>
      <c r="H250" s="283"/>
      <c r="I250" s="283"/>
      <c r="J250" s="283"/>
      <c r="K250" s="283"/>
      <c r="L250" s="283"/>
      <c r="M250" s="283"/>
      <c r="N250" s="283"/>
      <c r="O250" s="1" t="s">
        <v>152</v>
      </c>
    </row>
    <row r="251" spans="2:15" ht="10.5" customHeight="1" thickBot="1" x14ac:dyDescent="0.3">
      <c r="B251" s="108"/>
      <c r="C251" s="109"/>
      <c r="D251" s="108"/>
      <c r="E251" s="108"/>
      <c r="F251" s="108"/>
      <c r="G251" s="108"/>
      <c r="H251" s="108"/>
      <c r="I251" s="108"/>
      <c r="J251" s="108"/>
      <c r="K251" s="108"/>
      <c r="L251" s="108"/>
      <c r="M251" s="4"/>
      <c r="N251" s="4"/>
      <c r="O251" s="1" t="s">
        <v>153</v>
      </c>
    </row>
    <row r="252" spans="2:15" ht="22.5" thickTop="1" thickBot="1" x14ac:dyDescent="0.3">
      <c r="B252" s="126" t="str">
        <f>C252</f>
        <v>Suecia</v>
      </c>
      <c r="C252" s="305" t="s">
        <v>134</v>
      </c>
      <c r="D252" s="306"/>
      <c r="E252" s="306"/>
      <c r="F252" s="306"/>
      <c r="G252" s="306"/>
      <c r="H252" s="306"/>
      <c r="I252" s="306"/>
      <c r="J252" s="306"/>
      <c r="K252" s="306"/>
      <c r="L252" s="306"/>
      <c r="M252" s="306"/>
      <c r="N252" s="306"/>
    </row>
    <row r="253" spans="2:15" ht="22.5" thickTop="1" thickBot="1" x14ac:dyDescent="0.3">
      <c r="B253" s="111"/>
      <c r="C253" s="307">
        <f>$C$7</f>
        <v>2020</v>
      </c>
      <c r="D253" s="308"/>
      <c r="E253" s="309">
        <f>$E$7</f>
        <v>2021</v>
      </c>
      <c r="F253" s="308"/>
      <c r="G253" s="309">
        <f>$G$7</f>
        <v>2022</v>
      </c>
      <c r="H253" s="308"/>
      <c r="I253" s="309">
        <f>$I$7</f>
        <v>2023</v>
      </c>
      <c r="J253" s="308"/>
      <c r="K253" s="309">
        <f>$K$7</f>
        <v>2024</v>
      </c>
      <c r="L253" s="308"/>
      <c r="M253" s="309">
        <f>$M$7</f>
        <v>2025</v>
      </c>
      <c r="N253" s="310"/>
    </row>
    <row r="254" spans="2:15" ht="16.5" thickTop="1" thickBot="1" x14ac:dyDescent="0.3">
      <c r="B254" s="87"/>
      <c r="C254" s="116" t="s">
        <v>72</v>
      </c>
      <c r="D254" s="117" t="str">
        <f>CONCATENATE("var. ",RIGHT(C253,2),"/",RIGHT(C253-1,2))</f>
        <v>var. 20/19</v>
      </c>
      <c r="E254" s="118" t="s">
        <v>72</v>
      </c>
      <c r="F254" s="117" t="s">
        <v>254</v>
      </c>
      <c r="G254" s="118" t="s">
        <v>72</v>
      </c>
      <c r="H254" s="117" t="s">
        <v>254</v>
      </c>
      <c r="I254" s="118" t="s">
        <v>72</v>
      </c>
      <c r="J254" s="117" t="s">
        <v>254</v>
      </c>
      <c r="K254" s="118" t="s">
        <v>72</v>
      </c>
      <c r="L254" s="117" t="s">
        <v>254</v>
      </c>
      <c r="M254" s="118" t="s">
        <v>72</v>
      </c>
      <c r="N254" s="117" t="s">
        <v>283</v>
      </c>
    </row>
    <row r="255" spans="2:15" x14ac:dyDescent="0.25">
      <c r="B255" s="119" t="s">
        <v>74</v>
      </c>
      <c r="C255" s="120">
        <v>62996</v>
      </c>
      <c r="D255" s="121">
        <v>1.7081597726759101E-2</v>
      </c>
      <c r="E255" s="120">
        <v>4585</v>
      </c>
      <c r="F255" s="121">
        <f t="shared" ref="F255:L267" si="26">IFERROR(E255/C255-1,"-")</f>
        <v>-0.92721760111753126</v>
      </c>
      <c r="G255" s="120">
        <v>32167</v>
      </c>
      <c r="H255" s="121">
        <f t="shared" si="26"/>
        <v>6.0157033805888771</v>
      </c>
      <c r="I255" s="120">
        <v>36246</v>
      </c>
      <c r="J255" s="121">
        <f t="shared" si="26"/>
        <v>0.12680697609351199</v>
      </c>
      <c r="K255" s="120">
        <v>42817</v>
      </c>
      <c r="L255" s="121">
        <f t="shared" si="26"/>
        <v>0.1812889698173592</v>
      </c>
      <c r="M255" s="120">
        <v>40225</v>
      </c>
      <c r="N255" s="121">
        <f t="shared" ref="N255:N266" si="27">IFERROR(M255/K255-1,"-")</f>
        <v>-6.0536702711539769E-2</v>
      </c>
    </row>
    <row r="256" spans="2:15" x14ac:dyDescent="0.25">
      <c r="B256" s="119" t="s">
        <v>76</v>
      </c>
      <c r="C256" s="120">
        <v>54402</v>
      </c>
      <c r="D256" s="121">
        <v>8.303369537012939E-3</v>
      </c>
      <c r="E256" s="120">
        <v>2795</v>
      </c>
      <c r="F256" s="121">
        <f t="shared" si="26"/>
        <v>-0.94862321238189773</v>
      </c>
      <c r="G256" s="120">
        <v>21001</v>
      </c>
      <c r="H256" s="121">
        <f t="shared" si="26"/>
        <v>6.5137745974955275</v>
      </c>
      <c r="I256" s="120">
        <v>33395</v>
      </c>
      <c r="J256" s="121">
        <f t="shared" si="26"/>
        <v>0.59016237322032294</v>
      </c>
      <c r="K256" s="120">
        <v>37402</v>
      </c>
      <c r="L256" s="121">
        <f t="shared" si="26"/>
        <v>0.11998802215900595</v>
      </c>
      <c r="M256" s="120">
        <v>32015</v>
      </c>
      <c r="N256" s="121">
        <f t="shared" si="27"/>
        <v>-0.14402973103042616</v>
      </c>
    </row>
    <row r="257" spans="2:14" x14ac:dyDescent="0.25">
      <c r="B257" s="119" t="s">
        <v>78</v>
      </c>
      <c r="C257" s="120">
        <v>21399</v>
      </c>
      <c r="D257" s="121">
        <v>-0.67212135141346818</v>
      </c>
      <c r="E257" s="120">
        <v>5401</v>
      </c>
      <c r="F257" s="121">
        <f t="shared" si="26"/>
        <v>-0.7476050282723492</v>
      </c>
      <c r="G257" s="120">
        <v>28576</v>
      </c>
      <c r="H257" s="121">
        <f t="shared" si="26"/>
        <v>4.2908720607294946</v>
      </c>
      <c r="I257" s="120">
        <v>32444</v>
      </c>
      <c r="J257" s="121">
        <f t="shared" si="26"/>
        <v>0.13535834266517366</v>
      </c>
      <c r="K257" s="120">
        <v>37795</v>
      </c>
      <c r="L257" s="121">
        <f t="shared" si="26"/>
        <v>0.16493034151152752</v>
      </c>
      <c r="M257" s="120">
        <v>28398</v>
      </c>
      <c r="N257" s="121">
        <f t="shared" si="27"/>
        <v>-0.2486307712660405</v>
      </c>
    </row>
    <row r="258" spans="2:14" x14ac:dyDescent="0.25">
      <c r="B258" s="119" t="s">
        <v>80</v>
      </c>
      <c r="C258" s="120">
        <v>0</v>
      </c>
      <c r="D258" s="121">
        <v>-1</v>
      </c>
      <c r="E258" s="120">
        <v>1101</v>
      </c>
      <c r="F258" s="121" t="str">
        <f t="shared" si="26"/>
        <v>-</v>
      </c>
      <c r="G258" s="120">
        <v>14762</v>
      </c>
      <c r="H258" s="121">
        <f t="shared" si="26"/>
        <v>12.407811080835604</v>
      </c>
      <c r="I258" s="120">
        <v>16826</v>
      </c>
      <c r="J258" s="121">
        <f t="shared" si="26"/>
        <v>0.13981845278417548</v>
      </c>
      <c r="K258" s="120">
        <v>16401</v>
      </c>
      <c r="L258" s="121">
        <f t="shared" si="26"/>
        <v>-2.5258528467847374E-2</v>
      </c>
      <c r="M258" s="120">
        <v>14573</v>
      </c>
      <c r="N258" s="121">
        <f t="shared" si="27"/>
        <v>-0.11145661849887201</v>
      </c>
    </row>
    <row r="259" spans="2:14" x14ac:dyDescent="0.25">
      <c r="B259" s="119" t="s">
        <v>82</v>
      </c>
      <c r="C259" s="120">
        <v>0</v>
      </c>
      <c r="D259" s="121">
        <v>-1</v>
      </c>
      <c r="E259" s="120">
        <v>194</v>
      </c>
      <c r="F259" s="121" t="str">
        <f t="shared" si="26"/>
        <v>-</v>
      </c>
      <c r="G259" s="120">
        <v>724</v>
      </c>
      <c r="H259" s="121">
        <f t="shared" si="26"/>
        <v>2.731958762886598</v>
      </c>
      <c r="I259" s="120">
        <v>2087</v>
      </c>
      <c r="J259" s="121">
        <f t="shared" si="26"/>
        <v>1.882596685082873</v>
      </c>
      <c r="K259" s="120">
        <v>973</v>
      </c>
      <c r="L259" s="121">
        <f t="shared" si="26"/>
        <v>-0.53378054623862004</v>
      </c>
      <c r="M259" s="120">
        <v>912</v>
      </c>
      <c r="N259" s="121">
        <f t="shared" si="27"/>
        <v>-6.2692702980472803E-2</v>
      </c>
    </row>
    <row r="260" spans="2:14" x14ac:dyDescent="0.25">
      <c r="B260" s="119" t="s">
        <v>84</v>
      </c>
      <c r="C260" s="120">
        <v>0</v>
      </c>
      <c r="D260" s="121">
        <v>-1</v>
      </c>
      <c r="E260" s="120">
        <v>78</v>
      </c>
      <c r="F260" s="121" t="str">
        <f t="shared" si="26"/>
        <v>-</v>
      </c>
      <c r="G260" s="120">
        <v>1267</v>
      </c>
      <c r="H260" s="121">
        <f t="shared" si="26"/>
        <v>15.243589743589745</v>
      </c>
      <c r="I260" s="120">
        <v>2269</v>
      </c>
      <c r="J260" s="121">
        <f t="shared" si="26"/>
        <v>0.79084451460142069</v>
      </c>
      <c r="K260" s="120">
        <v>1043</v>
      </c>
      <c r="L260" s="121">
        <f t="shared" si="26"/>
        <v>-0.54032613486117231</v>
      </c>
      <c r="M260" s="120">
        <v>962</v>
      </c>
      <c r="N260" s="121">
        <f t="shared" si="27"/>
        <v>-7.766059443911788E-2</v>
      </c>
    </row>
    <row r="261" spans="2:14" x14ac:dyDescent="0.25">
      <c r="B261" s="119" t="s">
        <v>86</v>
      </c>
      <c r="C261" s="120">
        <v>0</v>
      </c>
      <c r="D261" s="121">
        <v>-1</v>
      </c>
      <c r="E261" s="120">
        <v>473</v>
      </c>
      <c r="F261" s="121" t="str">
        <f t="shared" si="26"/>
        <v>-</v>
      </c>
      <c r="G261" s="120">
        <v>1278</v>
      </c>
      <c r="H261" s="121">
        <f t="shared" si="26"/>
        <v>1.7019027484143763</v>
      </c>
      <c r="I261" s="120">
        <v>2935</v>
      </c>
      <c r="J261" s="121">
        <f t="shared" si="26"/>
        <v>1.2965571205007826</v>
      </c>
      <c r="K261" s="120">
        <v>781</v>
      </c>
      <c r="L261" s="121">
        <f t="shared" si="26"/>
        <v>-0.73390119250425889</v>
      </c>
      <c r="M261" s="120">
        <v>911</v>
      </c>
      <c r="N261" s="121">
        <f t="shared" si="27"/>
        <v>0.16645326504481428</v>
      </c>
    </row>
    <row r="262" spans="2:14" x14ac:dyDescent="0.25">
      <c r="B262" s="119" t="s">
        <v>88</v>
      </c>
      <c r="C262" s="120">
        <v>121</v>
      </c>
      <c r="D262" s="121">
        <v>-0.95277127244340365</v>
      </c>
      <c r="E262" s="120">
        <v>620</v>
      </c>
      <c r="F262" s="121">
        <f t="shared" si="26"/>
        <v>4.1239669421487601</v>
      </c>
      <c r="G262" s="120">
        <v>989</v>
      </c>
      <c r="H262" s="121">
        <f t="shared" si="26"/>
        <v>0.59516129032258069</v>
      </c>
      <c r="I262" s="120">
        <v>2710</v>
      </c>
      <c r="J262" s="121">
        <f t="shared" si="26"/>
        <v>1.7401415571284127</v>
      </c>
      <c r="K262" s="120">
        <v>381</v>
      </c>
      <c r="L262" s="121">
        <f t="shared" si="26"/>
        <v>-0.85940959409594098</v>
      </c>
      <c r="M262" s="120">
        <v>578</v>
      </c>
      <c r="N262" s="121">
        <f t="shared" si="27"/>
        <v>0.51706036745406814</v>
      </c>
    </row>
    <row r="263" spans="2:14" x14ac:dyDescent="0.25">
      <c r="B263" s="119" t="s">
        <v>90</v>
      </c>
      <c r="C263" s="120">
        <v>200</v>
      </c>
      <c r="D263" s="121">
        <v>-0.94196169471851421</v>
      </c>
      <c r="E263" s="120">
        <v>834</v>
      </c>
      <c r="F263" s="121">
        <f t="shared" si="26"/>
        <v>3.17</v>
      </c>
      <c r="G263" s="120">
        <v>881</v>
      </c>
      <c r="H263" s="121">
        <f t="shared" si="26"/>
        <v>5.6354916067146377E-2</v>
      </c>
      <c r="I263" s="120">
        <v>2697</v>
      </c>
      <c r="J263" s="121">
        <f t="shared" si="26"/>
        <v>2.0612939841089672</v>
      </c>
      <c r="K263" s="120">
        <v>805</v>
      </c>
      <c r="L263" s="121">
        <f t="shared" si="26"/>
        <v>-0.7015202076381164</v>
      </c>
      <c r="M263" s="120">
        <v>984</v>
      </c>
      <c r="N263" s="121">
        <f t="shared" si="27"/>
        <v>0.22236024844720492</v>
      </c>
    </row>
    <row r="264" spans="2:14" x14ac:dyDescent="0.25">
      <c r="B264" s="119" t="s">
        <v>92</v>
      </c>
      <c r="C264" s="120">
        <v>2086</v>
      </c>
      <c r="D264" s="121">
        <v>-0.91433968462549275</v>
      </c>
      <c r="E264" s="120">
        <v>7257</v>
      </c>
      <c r="F264" s="121">
        <f t="shared" si="26"/>
        <v>2.4789069990412274</v>
      </c>
      <c r="G264" s="120">
        <v>12144</v>
      </c>
      <c r="H264" s="121">
        <f t="shared" si="26"/>
        <v>0.673418768085986</v>
      </c>
      <c r="I264" s="120">
        <v>13940</v>
      </c>
      <c r="J264" s="121">
        <f t="shared" si="26"/>
        <v>0.14789196310935449</v>
      </c>
      <c r="K264" s="120">
        <v>12474</v>
      </c>
      <c r="L264" s="121">
        <f t="shared" si="26"/>
        <v>-0.10516499282639891</v>
      </c>
      <c r="M264" s="120">
        <v>11925</v>
      </c>
      <c r="N264" s="121">
        <f t="shared" si="27"/>
        <v>-4.4011544011544057E-2</v>
      </c>
    </row>
    <row r="265" spans="2:14" x14ac:dyDescent="0.25">
      <c r="B265" s="119" t="s">
        <v>94</v>
      </c>
      <c r="C265" s="120">
        <v>4827</v>
      </c>
      <c r="D265" s="121">
        <v>-0.91460868949900931</v>
      </c>
      <c r="E265" s="120">
        <v>33433</v>
      </c>
      <c r="F265" s="121">
        <f t="shared" si="26"/>
        <v>5.9262481872798842</v>
      </c>
      <c r="G265" s="120">
        <v>39258</v>
      </c>
      <c r="H265" s="121">
        <f t="shared" si="26"/>
        <v>0.17422905512517572</v>
      </c>
      <c r="I265" s="120">
        <v>40654</v>
      </c>
      <c r="J265" s="121">
        <f t="shared" si="26"/>
        <v>3.5559631157980442E-2</v>
      </c>
      <c r="K265" s="120">
        <v>32066</v>
      </c>
      <c r="L265" s="121">
        <f t="shared" si="26"/>
        <v>-0.21124612584247549</v>
      </c>
      <c r="M265" s="120">
        <v>26814</v>
      </c>
      <c r="N265" s="121">
        <f t="shared" si="27"/>
        <v>-0.1637871889228466</v>
      </c>
    </row>
    <row r="266" spans="2:14" x14ac:dyDescent="0.25">
      <c r="B266" s="119" t="s">
        <v>96</v>
      </c>
      <c r="C266" s="120">
        <v>3934</v>
      </c>
      <c r="D266" s="121">
        <v>-0.93409170869004343</v>
      </c>
      <c r="E266" s="120">
        <v>31477</v>
      </c>
      <c r="F266" s="121">
        <f t="shared" si="26"/>
        <v>7.0012709710218601</v>
      </c>
      <c r="G266" s="120">
        <v>35181</v>
      </c>
      <c r="H266" s="121">
        <f t="shared" si="26"/>
        <v>0.11767322171744454</v>
      </c>
      <c r="I266" s="120">
        <v>38319</v>
      </c>
      <c r="J266" s="121">
        <f t="shared" si="26"/>
        <v>8.9195872772235063E-2</v>
      </c>
      <c r="K266" s="120">
        <v>34431</v>
      </c>
      <c r="L266" s="121">
        <f t="shared" si="26"/>
        <v>-0.10146402567916701</v>
      </c>
      <c r="M266" s="120">
        <v>29558</v>
      </c>
      <c r="N266" s="121">
        <f t="shared" si="27"/>
        <v>-0.14152943568296017</v>
      </c>
    </row>
    <row r="267" spans="2:14" ht="15.75" x14ac:dyDescent="0.25">
      <c r="B267" s="122" t="s">
        <v>33</v>
      </c>
      <c r="C267" s="123">
        <v>150036</v>
      </c>
      <c r="D267" s="124">
        <v>-0.59081351300491725</v>
      </c>
      <c r="E267" s="123">
        <v>88248</v>
      </c>
      <c r="F267" s="124">
        <f t="shared" si="26"/>
        <v>-0.41182116292089899</v>
      </c>
      <c r="G267" s="123">
        <v>188228</v>
      </c>
      <c r="H267" s="124">
        <f t="shared" si="26"/>
        <v>1.1329435227993834</v>
      </c>
      <c r="I267" s="123">
        <v>224522</v>
      </c>
      <c r="J267" s="124">
        <f t="shared" si="26"/>
        <v>0.19281934674968659</v>
      </c>
      <c r="K267" s="123">
        <v>217369</v>
      </c>
      <c r="L267" s="124">
        <f t="shared" si="26"/>
        <v>-3.1858793347645187E-2</v>
      </c>
      <c r="M267" s="123">
        <v>187855</v>
      </c>
      <c r="N267" s="124">
        <v>-0.13577833085674595</v>
      </c>
    </row>
    <row r="268" spans="2:14" ht="6" customHeight="1" x14ac:dyDescent="0.25"/>
    <row r="269" spans="2:14" x14ac:dyDescent="0.25">
      <c r="B269" s="107" t="s">
        <v>58</v>
      </c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</row>
    <row r="270" spans="2:14" x14ac:dyDescent="0.25">
      <c r="C270" s="125"/>
      <c r="K270" s="125"/>
      <c r="N270" s="81"/>
    </row>
  </sheetData>
  <mergeCells count="96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50:N250"/>
    <mergeCell ref="C252:N252"/>
    <mergeCell ref="C253:D253"/>
    <mergeCell ref="E253:F253"/>
    <mergeCell ref="G253:H253"/>
    <mergeCell ref="I253:J253"/>
    <mergeCell ref="K253:L253"/>
    <mergeCell ref="M253:N253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E67AD-3729-49AB-A855-51F46CE141A4}">
  <sheetPr>
    <tabColor rgb="FFF29140"/>
  </sheetPr>
  <dimension ref="A4:O113"/>
  <sheetViews>
    <sheetView showGridLines="0" topLeftCell="H1" zoomScaleNormal="100" workbookViewId="0">
      <selection activeCell="Q74" sqref="Q74"/>
    </sheetView>
  </sheetViews>
  <sheetFormatPr baseColWidth="10" defaultColWidth="11.42578125" defaultRowHeight="15" x14ac:dyDescent="0.25"/>
  <cols>
    <col min="1" max="1" width="15.28515625" customWidth="1"/>
    <col min="4" max="4" width="12.140625" bestFit="1" customWidth="1"/>
    <col min="14" max="14" width="13.5703125" bestFit="1" customWidth="1"/>
  </cols>
  <sheetData>
    <row r="4" spans="1:15" ht="48.75" customHeight="1" thickBot="1" x14ac:dyDescent="0.3">
      <c r="B4" s="283" t="s">
        <v>281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9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",RIGHT(E7,2),"/",RIGHT(C7,2))</f>
        <v>var 21/20</v>
      </c>
      <c r="G8" s="118" t="s">
        <v>72</v>
      </c>
      <c r="H8" s="117" t="str">
        <f>CONCATENATE("var ",RIGHT(G7,2),"/",RIGHT(E7,2))</f>
        <v>var 22/21</v>
      </c>
      <c r="I8" s="118" t="s">
        <v>72</v>
      </c>
      <c r="J8" s="117" t="str">
        <f>CONCATENATE("var ",RIGHT(I7,2),"/",RIGHT(G7,2))</f>
        <v>var 23/22</v>
      </c>
      <c r="K8" s="118" t="s">
        <v>72</v>
      </c>
      <c r="L8" s="117" t="str">
        <f>CONCATENATE("var ",RIGHT(K7,2),"/",RIGHT(I7,2))</f>
        <v>var 24/23</v>
      </c>
      <c r="M8" s="118" t="s">
        <v>72</v>
      </c>
      <c r="N8" s="117" t="str">
        <f>CONCATENATE("var ",RIGHT(M7,2),"/",RIGHT(K7,2))</f>
        <v>var 25/24</v>
      </c>
    </row>
    <row r="9" spans="1:15" x14ac:dyDescent="0.25">
      <c r="A9" s="1" t="s">
        <v>73</v>
      </c>
      <c r="B9" s="119" t="s">
        <v>74</v>
      </c>
      <c r="C9" s="120">
        <v>893934</v>
      </c>
      <c r="D9" s="121">
        <v>2.0976097801655547E-2</v>
      </c>
      <c r="E9" s="120">
        <v>51667</v>
      </c>
      <c r="F9" s="121">
        <f t="shared" ref="F9:L21" si="0">IFERROR(E9/C9-1,"-")</f>
        <v>-0.94220266820593024</v>
      </c>
      <c r="G9" s="120">
        <v>576461</v>
      </c>
      <c r="H9" s="121">
        <f t="shared" si="0"/>
        <v>10.157237695240676</v>
      </c>
      <c r="I9" s="120">
        <v>810733</v>
      </c>
      <c r="J9" s="121">
        <f t="shared" si="0"/>
        <v>0.40639696354133248</v>
      </c>
      <c r="K9" s="120">
        <v>835098</v>
      </c>
      <c r="L9" s="121">
        <f t="shared" si="0"/>
        <v>3.0053050757770983E-2</v>
      </c>
      <c r="M9" s="120">
        <v>876312</v>
      </c>
      <c r="N9" s="121">
        <f t="shared" ref="N9:N20" si="1">IFERROR(M9/K9-1,"-")</f>
        <v>4.9352291587334562E-2</v>
      </c>
    </row>
    <row r="10" spans="1:15" x14ac:dyDescent="0.25">
      <c r="A10" s="1" t="s">
        <v>75</v>
      </c>
      <c r="B10" s="119" t="s">
        <v>76</v>
      </c>
      <c r="C10" s="120">
        <v>832182</v>
      </c>
      <c r="D10" s="121">
        <v>3.5273715272421402E-2</v>
      </c>
      <c r="E10" s="120">
        <v>53867</v>
      </c>
      <c r="F10" s="121">
        <f t="shared" si="0"/>
        <v>-0.93527016926585771</v>
      </c>
      <c r="G10" s="120">
        <v>608977</v>
      </c>
      <c r="H10" s="121">
        <f t="shared" si="0"/>
        <v>10.305196131212059</v>
      </c>
      <c r="I10" s="120">
        <v>773844</v>
      </c>
      <c r="J10" s="121">
        <f t="shared" si="0"/>
        <v>0.27072779431735516</v>
      </c>
      <c r="K10" s="120">
        <v>824761</v>
      </c>
      <c r="L10" s="121">
        <f t="shared" si="0"/>
        <v>6.5797499237572499E-2</v>
      </c>
      <c r="M10" s="120">
        <v>812017</v>
      </c>
      <c r="N10" s="121">
        <f t="shared" si="1"/>
        <v>-1.5451749052149633E-2</v>
      </c>
    </row>
    <row r="11" spans="1:15" x14ac:dyDescent="0.25">
      <c r="A11" s="1" t="s">
        <v>77</v>
      </c>
      <c r="B11" s="119" t="s">
        <v>78</v>
      </c>
      <c r="C11" s="120">
        <v>381721</v>
      </c>
      <c r="D11" s="121">
        <v>-0.55779099968258161</v>
      </c>
      <c r="E11" s="120">
        <v>73467</v>
      </c>
      <c r="F11" s="121">
        <f t="shared" si="0"/>
        <v>-0.80753744226804391</v>
      </c>
      <c r="G11" s="120">
        <v>747881</v>
      </c>
      <c r="H11" s="121">
        <f t="shared" si="0"/>
        <v>9.1798222331114658</v>
      </c>
      <c r="I11" s="120">
        <v>818402</v>
      </c>
      <c r="J11" s="121">
        <f t="shared" si="0"/>
        <v>9.4294413148615863E-2</v>
      </c>
      <c r="K11" s="120">
        <v>866668</v>
      </c>
      <c r="L11" s="121">
        <f t="shared" si="0"/>
        <v>5.8975906705995396E-2</v>
      </c>
      <c r="M11" s="120">
        <v>828674</v>
      </c>
      <c r="N11" s="121">
        <f t="shared" si="1"/>
        <v>-4.3839163324364105E-2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71140</v>
      </c>
      <c r="F12" s="121" t="str">
        <f t="shared" si="0"/>
        <v>-</v>
      </c>
      <c r="G12" s="120">
        <v>725227</v>
      </c>
      <c r="H12" s="121">
        <f t="shared" si="0"/>
        <v>9.1943632274388527</v>
      </c>
      <c r="I12" s="120">
        <v>745949</v>
      </c>
      <c r="J12" s="121">
        <f t="shared" si="0"/>
        <v>2.8573122622296276E-2</v>
      </c>
      <c r="K12" s="120">
        <v>789795</v>
      </c>
      <c r="L12" s="121">
        <f t="shared" si="0"/>
        <v>5.8778817318610344E-2</v>
      </c>
      <c r="M12" s="120">
        <v>754621</v>
      </c>
      <c r="N12" s="121">
        <f t="shared" si="1"/>
        <v>-4.4535607341145478E-2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71284</v>
      </c>
      <c r="F13" s="121" t="str">
        <f t="shared" si="0"/>
        <v>-</v>
      </c>
      <c r="G13" s="120">
        <v>653261</v>
      </c>
      <c r="H13" s="121">
        <f t="shared" si="0"/>
        <v>8.1642023455473876</v>
      </c>
      <c r="I13" s="120">
        <v>671021</v>
      </c>
      <c r="J13" s="121">
        <f t="shared" si="0"/>
        <v>2.7186683423623847E-2</v>
      </c>
      <c r="K13" s="120">
        <v>746827</v>
      </c>
      <c r="L13" s="121">
        <f t="shared" si="0"/>
        <v>0.11297112907047624</v>
      </c>
      <c r="M13" s="120">
        <v>741128</v>
      </c>
      <c r="N13" s="121">
        <f t="shared" si="1"/>
        <v>-7.6309506753237111E-3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113899</v>
      </c>
      <c r="F14" s="121" t="str">
        <f t="shared" si="0"/>
        <v>-</v>
      </c>
      <c r="G14" s="120">
        <v>672943</v>
      </c>
      <c r="H14" s="121">
        <f t="shared" si="0"/>
        <v>4.9082432681586319</v>
      </c>
      <c r="I14" s="120">
        <v>758024</v>
      </c>
      <c r="J14" s="121">
        <f t="shared" si="0"/>
        <v>0.12643121334199181</v>
      </c>
      <c r="K14" s="120">
        <v>787690</v>
      </c>
      <c r="L14" s="121">
        <f t="shared" si="0"/>
        <v>3.9135964032801063E-2</v>
      </c>
      <c r="M14" s="120">
        <v>808867</v>
      </c>
      <c r="N14" s="121">
        <f t="shared" si="1"/>
        <v>2.6884942045728666E-2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254312</v>
      </c>
      <c r="F15" s="121" t="str">
        <f t="shared" si="0"/>
        <v>-</v>
      </c>
      <c r="G15" s="120">
        <v>858220</v>
      </c>
      <c r="H15" s="121">
        <f t="shared" si="0"/>
        <v>2.3746736292428197</v>
      </c>
      <c r="I15" s="120">
        <v>872319</v>
      </c>
      <c r="J15" s="121">
        <f t="shared" si="0"/>
        <v>1.6428188576355751E-2</v>
      </c>
      <c r="K15" s="120">
        <v>895588</v>
      </c>
      <c r="L15" s="121">
        <f t="shared" si="0"/>
        <v>2.6674874673141336E-2</v>
      </c>
      <c r="M15" s="120">
        <v>931484</v>
      </c>
      <c r="N15" s="121">
        <f t="shared" si="1"/>
        <v>4.0080930070523602E-2</v>
      </c>
    </row>
    <row r="16" spans="1:15" x14ac:dyDescent="0.25">
      <c r="A16" s="1" t="s">
        <v>87</v>
      </c>
      <c r="B16" s="119" t="s">
        <v>88</v>
      </c>
      <c r="C16" s="120">
        <v>191201</v>
      </c>
      <c r="D16" s="121">
        <v>-0.80228508439032353</v>
      </c>
      <c r="E16" s="120">
        <v>386772</v>
      </c>
      <c r="F16" s="121">
        <f t="shared" si="0"/>
        <v>1.0228555289982793</v>
      </c>
      <c r="G16" s="120">
        <v>895466</v>
      </c>
      <c r="H16" s="121">
        <f t="shared" si="0"/>
        <v>1.3152296443382663</v>
      </c>
      <c r="I16" s="120">
        <v>947197</v>
      </c>
      <c r="J16" s="121">
        <f t="shared" si="0"/>
        <v>5.7769920912686734E-2</v>
      </c>
      <c r="K16" s="120">
        <v>936279</v>
      </c>
      <c r="L16" s="121">
        <f t="shared" si="0"/>
        <v>-1.1526641237250557E-2</v>
      </c>
      <c r="M16" s="120">
        <v>908634</v>
      </c>
      <c r="N16" s="121">
        <f t="shared" si="1"/>
        <v>-2.9526455255324491E-2</v>
      </c>
    </row>
    <row r="17" spans="1:15" x14ac:dyDescent="0.25">
      <c r="A17" s="1" t="s">
        <v>89</v>
      </c>
      <c r="B17" s="119" t="s">
        <v>90</v>
      </c>
      <c r="C17" s="120">
        <v>105790</v>
      </c>
      <c r="D17" s="121">
        <v>-0.86726440969738949</v>
      </c>
      <c r="E17" s="120">
        <v>422869</v>
      </c>
      <c r="F17" s="121">
        <f t="shared" si="0"/>
        <v>2.99724926741658</v>
      </c>
      <c r="G17" s="120">
        <v>748642</v>
      </c>
      <c r="H17" s="121">
        <f t="shared" si="0"/>
        <v>0.77038751953914808</v>
      </c>
      <c r="I17" s="120">
        <v>799868</v>
      </c>
      <c r="J17" s="121">
        <f t="shared" si="0"/>
        <v>6.8425228613943734E-2</v>
      </c>
      <c r="K17" s="120">
        <v>807680</v>
      </c>
      <c r="L17" s="121">
        <f t="shared" si="0"/>
        <v>9.7666114908960822E-3</v>
      </c>
      <c r="M17" s="120">
        <v>815302</v>
      </c>
      <c r="N17" s="121">
        <f t="shared" si="1"/>
        <v>9.4369057052297034E-3</v>
      </c>
    </row>
    <row r="18" spans="1:15" x14ac:dyDescent="0.25">
      <c r="A18" s="1" t="s">
        <v>91</v>
      </c>
      <c r="B18" s="119" t="s">
        <v>92</v>
      </c>
      <c r="C18" s="120">
        <v>101639</v>
      </c>
      <c r="D18" s="121">
        <v>-0.8772455089820359</v>
      </c>
      <c r="E18" s="120">
        <v>627412</v>
      </c>
      <c r="F18" s="121">
        <f t="shared" si="0"/>
        <v>5.1729454244925668</v>
      </c>
      <c r="G18" s="120">
        <v>801936</v>
      </c>
      <c r="H18" s="121">
        <f t="shared" si="0"/>
        <v>0.27816490599478483</v>
      </c>
      <c r="I18" s="120">
        <v>863416</v>
      </c>
      <c r="J18" s="121">
        <f t="shared" si="0"/>
        <v>7.6664471977813786E-2</v>
      </c>
      <c r="K18" s="120">
        <v>870321</v>
      </c>
      <c r="L18" s="121">
        <f t="shared" si="0"/>
        <v>7.997303733078942E-3</v>
      </c>
      <c r="M18" s="120">
        <v>899430</v>
      </c>
      <c r="N18" s="121">
        <f t="shared" si="1"/>
        <v>3.3446280165594144E-2</v>
      </c>
    </row>
    <row r="19" spans="1:15" x14ac:dyDescent="0.25">
      <c r="A19" s="1" t="s">
        <v>93</v>
      </c>
      <c r="B19" s="119" t="s">
        <v>94</v>
      </c>
      <c r="C19" s="120">
        <v>110775</v>
      </c>
      <c r="D19" s="121">
        <v>-0.86625818719628145</v>
      </c>
      <c r="E19" s="120">
        <v>660916</v>
      </c>
      <c r="F19" s="121">
        <f t="shared" si="0"/>
        <v>4.9662920334010385</v>
      </c>
      <c r="G19" s="120">
        <v>785918</v>
      </c>
      <c r="H19" s="121">
        <f t="shared" si="0"/>
        <v>0.18913447397248673</v>
      </c>
      <c r="I19" s="120">
        <v>847777</v>
      </c>
      <c r="J19" s="121">
        <f t="shared" si="0"/>
        <v>7.8709229207118314E-2</v>
      </c>
      <c r="K19" s="120">
        <v>817457</v>
      </c>
      <c r="L19" s="121">
        <f t="shared" si="0"/>
        <v>-3.5764121933008375E-2</v>
      </c>
      <c r="M19" s="120">
        <v>815614</v>
      </c>
      <c r="N19" s="121">
        <f t="shared" si="1"/>
        <v>-2.2545528388648872E-3</v>
      </c>
    </row>
    <row r="20" spans="1:15" x14ac:dyDescent="0.25">
      <c r="A20" s="1" t="s">
        <v>95</v>
      </c>
      <c r="B20" s="119" t="s">
        <v>96</v>
      </c>
      <c r="C20" s="120">
        <v>118240</v>
      </c>
      <c r="D20" s="121">
        <v>-0.86305431499360674</v>
      </c>
      <c r="E20" s="120">
        <v>579557</v>
      </c>
      <c r="F20" s="121">
        <f t="shared" si="0"/>
        <v>3.9015307848443843</v>
      </c>
      <c r="G20" s="120">
        <v>790311</v>
      </c>
      <c r="H20" s="121">
        <f t="shared" si="0"/>
        <v>0.36364671637129731</v>
      </c>
      <c r="I20" s="120">
        <v>831777</v>
      </c>
      <c r="J20" s="121">
        <f t="shared" si="0"/>
        <v>5.2467952489589464E-2</v>
      </c>
      <c r="K20" s="120">
        <v>834955</v>
      </c>
      <c r="L20" s="121">
        <f t="shared" si="0"/>
        <v>3.8207356058175268E-3</v>
      </c>
      <c r="M20" s="120">
        <v>802051</v>
      </c>
      <c r="N20" s="121">
        <f t="shared" si="1"/>
        <v>-3.9408111814409175E-2</v>
      </c>
    </row>
    <row r="21" spans="1:15" ht="15.75" x14ac:dyDescent="0.25">
      <c r="A21" s="1"/>
      <c r="B21" s="122" t="s">
        <v>33</v>
      </c>
      <c r="C21" s="123">
        <v>2858440</v>
      </c>
      <c r="D21" s="124">
        <v>-0.71680604408130044</v>
      </c>
      <c r="E21" s="123">
        <v>3367162</v>
      </c>
      <c r="F21" s="124">
        <f t="shared" si="0"/>
        <v>0.17797190075705638</v>
      </c>
      <c r="G21" s="123">
        <v>8865243</v>
      </c>
      <c r="H21" s="124">
        <f t="shared" si="0"/>
        <v>1.6328531267577859</v>
      </c>
      <c r="I21" s="123">
        <v>9740327</v>
      </c>
      <c r="J21" s="124">
        <f t="shared" si="0"/>
        <v>9.8709533399140792E-2</v>
      </c>
      <c r="K21" s="123">
        <v>10013119</v>
      </c>
      <c r="L21" s="124">
        <f t="shared" si="0"/>
        <v>2.8006451939447174E-2</v>
      </c>
      <c r="M21" s="123">
        <v>9994134</v>
      </c>
      <c r="N21" s="124">
        <v>-1.8960126210424422E-3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294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140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15" x14ac:dyDescent="0.25">
      <c r="B31" s="119" t="s">
        <v>74</v>
      </c>
      <c r="C31" s="120">
        <v>501178</v>
      </c>
      <c r="D31" s="121">
        <v>0.10112710095572885</v>
      </c>
      <c r="E31" s="120">
        <v>14580</v>
      </c>
      <c r="F31" s="121">
        <f t="shared" ref="F31:J43" si="2">IFERROR(E31/C31-1,"-")</f>
        <v>-0.97090853948098277</v>
      </c>
      <c r="G31" s="120">
        <v>303205</v>
      </c>
      <c r="H31" s="121">
        <f t="shared" si="2"/>
        <v>19.795953360768177</v>
      </c>
      <c r="I31" s="120">
        <v>488351</v>
      </c>
      <c r="J31" s="121">
        <f t="shared" si="2"/>
        <v>0.6106297719364786</v>
      </c>
      <c r="K31" s="120">
        <v>462517</v>
      </c>
      <c r="L31" s="121">
        <f t="shared" ref="L31:L43" si="3">IFERROR(K31/I31-1,"-")</f>
        <v>-5.2900475272908198E-2</v>
      </c>
      <c r="M31" s="120">
        <v>516029</v>
      </c>
      <c r="N31" s="121">
        <f t="shared" ref="N31:N42" si="4">IFERROR(M31/K31-1,"-")</f>
        <v>0.11569736896157323</v>
      </c>
    </row>
    <row r="32" spans="1:15" x14ac:dyDescent="0.25">
      <c r="B32" s="119" t="s">
        <v>76</v>
      </c>
      <c r="C32" s="120">
        <v>463416</v>
      </c>
      <c r="D32" s="121">
        <v>0.11876510365239801</v>
      </c>
      <c r="E32" s="120">
        <v>16940</v>
      </c>
      <c r="F32" s="121">
        <f t="shared" si="2"/>
        <v>-0.9634453708978542</v>
      </c>
      <c r="G32" s="120">
        <v>330152</v>
      </c>
      <c r="H32" s="121">
        <f t="shared" si="2"/>
        <v>18.489492325855963</v>
      </c>
      <c r="I32" s="120">
        <v>443471</v>
      </c>
      <c r="J32" s="121">
        <f t="shared" si="2"/>
        <v>0.34323281397659255</v>
      </c>
      <c r="K32" s="120">
        <v>463066</v>
      </c>
      <c r="L32" s="121">
        <f t="shared" si="3"/>
        <v>4.4185527351281229E-2</v>
      </c>
      <c r="M32" s="120">
        <v>474785</v>
      </c>
      <c r="N32" s="121">
        <f t="shared" si="4"/>
        <v>2.5307407583368136E-2</v>
      </c>
    </row>
    <row r="33" spans="2:15" x14ac:dyDescent="0.25">
      <c r="B33" s="119" t="s">
        <v>78</v>
      </c>
      <c r="C33" s="120">
        <v>215134</v>
      </c>
      <c r="D33" s="121">
        <v>-0.51879231710399465</v>
      </c>
      <c r="E33" s="120">
        <v>21891</v>
      </c>
      <c r="F33" s="121">
        <f t="shared" si="2"/>
        <v>-0.89824481485957586</v>
      </c>
      <c r="G33" s="120">
        <v>426904</v>
      </c>
      <c r="H33" s="121">
        <f t="shared" si="2"/>
        <v>18.501347585765838</v>
      </c>
      <c r="I33" s="120">
        <v>469427</v>
      </c>
      <c r="J33" s="121">
        <f t="shared" si="2"/>
        <v>9.9607874369881833E-2</v>
      </c>
      <c r="K33" s="120">
        <v>495607</v>
      </c>
      <c r="L33" s="121">
        <f t="shared" si="3"/>
        <v>5.5770119741727742E-2</v>
      </c>
      <c r="M33" s="120">
        <v>477683</v>
      </c>
      <c r="N33" s="121">
        <f t="shared" si="4"/>
        <v>-3.6165752299705201E-2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21218</v>
      </c>
      <c r="F34" s="121" t="str">
        <f t="shared" si="2"/>
        <v>-</v>
      </c>
      <c r="G34" s="120">
        <v>425285</v>
      </c>
      <c r="H34" s="121">
        <f t="shared" si="2"/>
        <v>19.043595060797436</v>
      </c>
      <c r="I34" s="120">
        <v>444527</v>
      </c>
      <c r="J34" s="121">
        <f t="shared" si="2"/>
        <v>4.5244953384201203E-2</v>
      </c>
      <c r="K34" s="120">
        <v>447408</v>
      </c>
      <c r="L34" s="121">
        <f t="shared" si="3"/>
        <v>6.4810461456783486E-3</v>
      </c>
      <c r="M34" s="120">
        <v>414511</v>
      </c>
      <c r="N34" s="121">
        <f t="shared" si="4"/>
        <v>-7.3527965525873484E-2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21400</v>
      </c>
      <c r="F35" s="121" t="str">
        <f t="shared" si="2"/>
        <v>-</v>
      </c>
      <c r="G35" s="120">
        <v>388948</v>
      </c>
      <c r="H35" s="121">
        <f t="shared" si="2"/>
        <v>17.175140186915886</v>
      </c>
      <c r="I35" s="120">
        <v>422412</v>
      </c>
      <c r="J35" s="121">
        <f t="shared" si="2"/>
        <v>8.6037208058660886E-2</v>
      </c>
      <c r="K35" s="120">
        <v>435777</v>
      </c>
      <c r="L35" s="121">
        <f t="shared" si="3"/>
        <v>3.1639726144143676E-2</v>
      </c>
      <c r="M35" s="120">
        <v>441733</v>
      </c>
      <c r="N35" s="121">
        <f t="shared" si="4"/>
        <v>1.3667540967054359E-2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44736</v>
      </c>
      <c r="F36" s="121" t="str">
        <f t="shared" si="2"/>
        <v>-</v>
      </c>
      <c r="G36" s="120">
        <v>408804</v>
      </c>
      <c r="H36" s="121">
        <f t="shared" si="2"/>
        <v>8.1381437768240339</v>
      </c>
      <c r="I36" s="120">
        <v>454213</v>
      </c>
      <c r="J36" s="121">
        <f t="shared" si="2"/>
        <v>0.11107768025753173</v>
      </c>
      <c r="K36" s="120">
        <v>465333</v>
      </c>
      <c r="L36" s="121">
        <f t="shared" si="3"/>
        <v>2.4481906066096792E-2</v>
      </c>
      <c r="M36" s="120">
        <v>483562</v>
      </c>
      <c r="N36" s="121">
        <f t="shared" si="4"/>
        <v>3.9174096829582172E-2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113386</v>
      </c>
      <c r="F37" s="121" t="str">
        <f t="shared" si="2"/>
        <v>-</v>
      </c>
      <c r="G37" s="120">
        <v>491736</v>
      </c>
      <c r="H37" s="121">
        <f t="shared" si="2"/>
        <v>3.3368317076182246</v>
      </c>
      <c r="I37" s="120">
        <v>511657</v>
      </c>
      <c r="J37" s="121">
        <f t="shared" si="2"/>
        <v>4.0511575316836579E-2</v>
      </c>
      <c r="K37" s="120">
        <v>531003</v>
      </c>
      <c r="L37" s="121">
        <f t="shared" si="3"/>
        <v>3.7810486321891323E-2</v>
      </c>
      <c r="M37" s="120">
        <v>544194</v>
      </c>
      <c r="N37" s="121">
        <f t="shared" si="4"/>
        <v>2.4841667561200209E-2</v>
      </c>
    </row>
    <row r="38" spans="2:15" x14ac:dyDescent="0.25">
      <c r="B38" s="119" t="s">
        <v>88</v>
      </c>
      <c r="C38" s="120">
        <v>96004</v>
      </c>
      <c r="D38" s="121">
        <v>-0.80321242333803422</v>
      </c>
      <c r="E38" s="120">
        <v>197818</v>
      </c>
      <c r="F38" s="121">
        <f t="shared" si="2"/>
        <v>1.0605183117370109</v>
      </c>
      <c r="G38" s="120">
        <v>530698</v>
      </c>
      <c r="H38" s="121">
        <f t="shared" si="2"/>
        <v>1.6827588995945768</v>
      </c>
      <c r="I38" s="120">
        <v>569851</v>
      </c>
      <c r="J38" s="121">
        <f t="shared" si="2"/>
        <v>7.3776422748907944E-2</v>
      </c>
      <c r="K38" s="120">
        <v>553021</v>
      </c>
      <c r="L38" s="121">
        <f t="shared" si="3"/>
        <v>-2.9534036090135829E-2</v>
      </c>
      <c r="M38" s="120">
        <v>547385</v>
      </c>
      <c r="N38" s="121">
        <f t="shared" si="4"/>
        <v>-1.0191294724793409E-2</v>
      </c>
    </row>
    <row r="39" spans="2:15" x14ac:dyDescent="0.25">
      <c r="B39" s="119" t="s">
        <v>90</v>
      </c>
      <c r="C39" s="120">
        <v>60570</v>
      </c>
      <c r="D39" s="121">
        <v>-0.86497933561897289</v>
      </c>
      <c r="E39" s="120">
        <v>241203</v>
      </c>
      <c r="F39" s="121">
        <f t="shared" si="2"/>
        <v>2.9822189202575533</v>
      </c>
      <c r="G39" s="120">
        <v>466212</v>
      </c>
      <c r="H39" s="121">
        <f t="shared" si="2"/>
        <v>0.93286153157299045</v>
      </c>
      <c r="I39" s="120">
        <v>491257</v>
      </c>
      <c r="J39" s="121">
        <f t="shared" si="2"/>
        <v>5.3720195962351891E-2</v>
      </c>
      <c r="K39" s="120">
        <v>500247</v>
      </c>
      <c r="L39" s="121">
        <f t="shared" si="3"/>
        <v>1.829999368965729E-2</v>
      </c>
      <c r="M39" s="120">
        <v>486120</v>
      </c>
      <c r="N39" s="121">
        <f t="shared" si="4"/>
        <v>-2.8240049415588664E-2</v>
      </c>
    </row>
    <row r="40" spans="2:15" x14ac:dyDescent="0.25">
      <c r="B40" s="119" t="s">
        <v>92</v>
      </c>
      <c r="C40" s="120">
        <v>51321</v>
      </c>
      <c r="D40" s="121">
        <v>-0.89245817957792961</v>
      </c>
      <c r="E40" s="120">
        <v>379310</v>
      </c>
      <c r="F40" s="121">
        <f t="shared" si="2"/>
        <v>6.3909315874593249</v>
      </c>
      <c r="G40" s="120">
        <v>492206</v>
      </c>
      <c r="H40" s="121">
        <f t="shared" si="2"/>
        <v>0.29763517966834518</v>
      </c>
      <c r="I40" s="120">
        <v>505474</v>
      </c>
      <c r="J40" s="121">
        <f t="shared" si="2"/>
        <v>2.6956193138645279E-2</v>
      </c>
      <c r="K40" s="120">
        <v>527606</v>
      </c>
      <c r="L40" s="121">
        <f t="shared" si="3"/>
        <v>4.3784645698888625E-2</v>
      </c>
      <c r="M40" s="120">
        <v>545299</v>
      </c>
      <c r="N40" s="121">
        <f t="shared" si="4"/>
        <v>3.3534493542529908E-2</v>
      </c>
    </row>
    <row r="41" spans="2:15" x14ac:dyDescent="0.25">
      <c r="B41" s="119" t="s">
        <v>94</v>
      </c>
      <c r="C41" s="120">
        <v>52157</v>
      </c>
      <c r="D41" s="121">
        <v>-0.88898419806903128</v>
      </c>
      <c r="E41" s="120">
        <v>382750</v>
      </c>
      <c r="F41" s="121">
        <f t="shared" si="2"/>
        <v>6.3384205379910652</v>
      </c>
      <c r="G41" s="120">
        <v>471403</v>
      </c>
      <c r="H41" s="121">
        <f t="shared" si="2"/>
        <v>0.23162116263879806</v>
      </c>
      <c r="I41" s="120">
        <v>495470</v>
      </c>
      <c r="J41" s="121">
        <f t="shared" si="2"/>
        <v>5.105398141293116E-2</v>
      </c>
      <c r="K41" s="120">
        <v>484662</v>
      </c>
      <c r="L41" s="121">
        <f t="shared" si="3"/>
        <v>-2.1813631501402697E-2</v>
      </c>
      <c r="M41" s="120">
        <v>490539</v>
      </c>
      <c r="N41" s="121">
        <f t="shared" si="4"/>
        <v>1.2125976453693399E-2</v>
      </c>
    </row>
    <row r="42" spans="2:15" x14ac:dyDescent="0.25">
      <c r="B42" s="119" t="s">
        <v>96</v>
      </c>
      <c r="C42" s="120">
        <v>56375</v>
      </c>
      <c r="D42" s="121">
        <v>-0.88385915179583108</v>
      </c>
      <c r="E42" s="120">
        <v>322714</v>
      </c>
      <c r="F42" s="121">
        <f t="shared" si="2"/>
        <v>4.7244168514412417</v>
      </c>
      <c r="G42" s="120">
        <v>481522</v>
      </c>
      <c r="H42" s="121">
        <f t="shared" si="2"/>
        <v>0.49210136529558679</v>
      </c>
      <c r="I42" s="120">
        <v>480103</v>
      </c>
      <c r="J42" s="121">
        <f t="shared" si="2"/>
        <v>-2.9469058526920833E-3</v>
      </c>
      <c r="K42" s="120">
        <v>488662</v>
      </c>
      <c r="L42" s="121">
        <f t="shared" si="3"/>
        <v>1.7827424531819291E-2</v>
      </c>
      <c r="M42" s="120">
        <v>463246</v>
      </c>
      <c r="N42" s="121">
        <f t="shared" si="4"/>
        <v>-5.2011410750170906E-2</v>
      </c>
    </row>
    <row r="43" spans="2:15" ht="15.75" x14ac:dyDescent="0.25">
      <c r="B43" s="122" t="s">
        <v>33</v>
      </c>
      <c r="C43" s="123">
        <v>1557028</v>
      </c>
      <c r="D43" s="124">
        <v>-0.715436376044158</v>
      </c>
      <c r="E43" s="123">
        <v>1777946</v>
      </c>
      <c r="F43" s="124">
        <f t="shared" si="2"/>
        <v>0.14188441055652179</v>
      </c>
      <c r="G43" s="123">
        <v>5217075</v>
      </c>
      <c r="H43" s="124">
        <f t="shared" si="2"/>
        <v>1.9343270268050885</v>
      </c>
      <c r="I43" s="123">
        <v>5776213</v>
      </c>
      <c r="J43" s="124">
        <f t="shared" si="2"/>
        <v>0.10717461412764817</v>
      </c>
      <c r="K43" s="123">
        <v>5854909</v>
      </c>
      <c r="L43" s="124">
        <f t="shared" si="3"/>
        <v>1.3624151325444478E-2</v>
      </c>
      <c r="M43" s="123">
        <v>5885086</v>
      </c>
      <c r="N43" s="124">
        <v>5.1541364690723679E-3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8" spans="2:15" ht="48.75" customHeight="1" thickBot="1" x14ac:dyDescent="0.3">
      <c r="B48" s="283" t="s">
        <v>295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154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1:15" x14ac:dyDescent="0.25">
      <c r="A53" s="1"/>
      <c r="B53" s="119" t="s">
        <v>74</v>
      </c>
      <c r="C53" s="120">
        <v>370908</v>
      </c>
      <c r="D53" s="121">
        <v>9.8527726194389986E-2</v>
      </c>
      <c r="E53" s="120">
        <v>11298</v>
      </c>
      <c r="F53" s="121">
        <f t="shared" ref="F53:J65" si="5">IFERROR(E53/C53-1,"-")</f>
        <v>-0.96953961629298913</v>
      </c>
      <c r="G53" s="120">
        <v>234995</v>
      </c>
      <c r="H53" s="121">
        <f t="shared" si="5"/>
        <v>19.799699061780846</v>
      </c>
      <c r="I53" s="120">
        <v>371455</v>
      </c>
      <c r="J53" s="121">
        <f t="shared" si="5"/>
        <v>0.58069320623843068</v>
      </c>
      <c r="K53" s="120">
        <v>373792</v>
      </c>
      <c r="L53" s="121">
        <f t="shared" ref="L53:L65" si="6">IFERROR(K53/I53-1,"-")</f>
        <v>6.2914754142493479E-3</v>
      </c>
      <c r="M53" s="120">
        <v>392816</v>
      </c>
      <c r="N53" s="121">
        <f t="shared" ref="N53:N61" si="7">IFERROR(M53/K53-1,"-")</f>
        <v>5.0894615187055958E-2</v>
      </c>
    </row>
    <row r="54" spans="1:15" x14ac:dyDescent="0.25">
      <c r="A54" s="1">
        <v>2</v>
      </c>
      <c r="B54" s="119" t="s">
        <v>76</v>
      </c>
      <c r="C54" s="120">
        <v>336790</v>
      </c>
      <c r="D54" s="121">
        <v>0.12451126714947303</v>
      </c>
      <c r="E54" s="120">
        <v>14719</v>
      </c>
      <c r="F54" s="121">
        <f t="shared" si="5"/>
        <v>-0.95629620831972451</v>
      </c>
      <c r="G54" s="120">
        <v>256339</v>
      </c>
      <c r="H54" s="121">
        <f t="shared" si="5"/>
        <v>16.415517358516205</v>
      </c>
      <c r="I54" s="120">
        <v>333022</v>
      </c>
      <c r="J54" s="121">
        <f t="shared" si="5"/>
        <v>0.29914683290486432</v>
      </c>
      <c r="K54" s="120">
        <v>353865</v>
      </c>
      <c r="L54" s="121">
        <f t="shared" si="6"/>
        <v>6.2587456684543463E-2</v>
      </c>
      <c r="M54" s="120">
        <v>362809</v>
      </c>
      <c r="N54" s="121">
        <f t="shared" si="7"/>
        <v>2.5275175561301655E-2</v>
      </c>
    </row>
    <row r="55" spans="1:15" x14ac:dyDescent="0.25">
      <c r="A55" s="1">
        <v>3</v>
      </c>
      <c r="B55" s="119" t="s">
        <v>78</v>
      </c>
      <c r="C55" s="120">
        <v>153036</v>
      </c>
      <c r="D55" s="121">
        <v>-0.53248038712515577</v>
      </c>
      <c r="E55" s="120">
        <v>19759</v>
      </c>
      <c r="F55" s="121">
        <f t="shared" si="5"/>
        <v>-0.87088658877649705</v>
      </c>
      <c r="G55" s="120">
        <v>322615</v>
      </c>
      <c r="H55" s="121">
        <f t="shared" si="5"/>
        <v>15.327496330785969</v>
      </c>
      <c r="I55" s="120">
        <v>346043</v>
      </c>
      <c r="J55" s="121">
        <f t="shared" si="5"/>
        <v>7.2619066069463667E-2</v>
      </c>
      <c r="K55" s="120">
        <v>376224</v>
      </c>
      <c r="L55" s="121">
        <f t="shared" si="6"/>
        <v>8.7217484532269074E-2</v>
      </c>
      <c r="M55" s="120">
        <v>376628</v>
      </c>
      <c r="N55" s="121">
        <f t="shared" si="7"/>
        <v>1.0738283575741914E-3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15140</v>
      </c>
      <c r="F56" s="121" t="str">
        <f t="shared" si="5"/>
        <v>-</v>
      </c>
      <c r="G56" s="120">
        <v>326468</v>
      </c>
      <c r="H56" s="121">
        <f t="shared" si="5"/>
        <v>20.563276089828271</v>
      </c>
      <c r="I56" s="120">
        <v>331335</v>
      </c>
      <c r="J56" s="121">
        <f t="shared" si="5"/>
        <v>1.4908046117843021E-2</v>
      </c>
      <c r="K56" s="120">
        <v>344040</v>
      </c>
      <c r="L56" s="121">
        <f t="shared" si="6"/>
        <v>3.8344877540857469E-2</v>
      </c>
      <c r="M56" s="120">
        <v>325436</v>
      </c>
      <c r="N56" s="121">
        <f t="shared" si="7"/>
        <v>-5.4075107545634271E-2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19434</v>
      </c>
      <c r="F57" s="121" t="str">
        <f t="shared" si="5"/>
        <v>-</v>
      </c>
      <c r="G57" s="120">
        <v>316077</v>
      </c>
      <c r="H57" s="121">
        <f t="shared" si="5"/>
        <v>15.264124729854892</v>
      </c>
      <c r="I57" s="120">
        <v>340704</v>
      </c>
      <c r="J57" s="121">
        <f t="shared" si="5"/>
        <v>7.7914558794217825E-2</v>
      </c>
      <c r="K57" s="120">
        <v>344685</v>
      </c>
      <c r="L57" s="121">
        <f t="shared" si="6"/>
        <v>1.1684629473091013E-2</v>
      </c>
      <c r="M57" s="120">
        <v>365014</v>
      </c>
      <c r="N57" s="121">
        <f t="shared" si="7"/>
        <v>5.897848760462443E-2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38047</v>
      </c>
      <c r="F58" s="121" t="str">
        <f t="shared" si="5"/>
        <v>-</v>
      </c>
      <c r="G58" s="120">
        <v>318832</v>
      </c>
      <c r="H58" s="121">
        <f t="shared" si="5"/>
        <v>7.3799511130969595</v>
      </c>
      <c r="I58" s="120">
        <v>354121</v>
      </c>
      <c r="J58" s="121">
        <f t="shared" si="5"/>
        <v>0.11068211471872336</v>
      </c>
      <c r="K58" s="120">
        <v>354898</v>
      </c>
      <c r="L58" s="121">
        <f t="shared" si="6"/>
        <v>2.1941652711925386E-3</v>
      </c>
      <c r="M58" s="120">
        <v>391870</v>
      </c>
      <c r="N58" s="121">
        <f t="shared" si="7"/>
        <v>0.10417641125055654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101654</v>
      </c>
      <c r="F59" s="121" t="str">
        <f t="shared" si="5"/>
        <v>-</v>
      </c>
      <c r="G59" s="120">
        <v>380812</v>
      </c>
      <c r="H59" s="121">
        <f t="shared" si="5"/>
        <v>2.7461585377850355</v>
      </c>
      <c r="I59" s="120">
        <v>400198</v>
      </c>
      <c r="J59" s="121">
        <f t="shared" si="5"/>
        <v>5.0907009232902256E-2</v>
      </c>
      <c r="K59" s="120">
        <v>405625</v>
      </c>
      <c r="L59" s="121">
        <f t="shared" si="6"/>
        <v>1.3560787410231923E-2</v>
      </c>
      <c r="M59" s="120">
        <v>442861</v>
      </c>
      <c r="N59" s="121">
        <f t="shared" si="7"/>
        <v>9.1799075500770488E-2</v>
      </c>
    </row>
    <row r="60" spans="1:15" x14ac:dyDescent="0.25">
      <c r="A60" s="1">
        <v>8</v>
      </c>
      <c r="B60" s="119" t="s">
        <v>88</v>
      </c>
      <c r="C60" s="120">
        <v>69690</v>
      </c>
      <c r="D60" s="121">
        <v>-0.81755875869796268</v>
      </c>
      <c r="E60" s="120">
        <v>163462</v>
      </c>
      <c r="F60" s="121">
        <f t="shared" si="5"/>
        <v>1.3455589037164586</v>
      </c>
      <c r="G60" s="120">
        <v>408951</v>
      </c>
      <c r="H60" s="121">
        <f t="shared" si="5"/>
        <v>1.5018108184165126</v>
      </c>
      <c r="I60" s="120">
        <v>415100</v>
      </c>
      <c r="J60" s="121">
        <f t="shared" si="5"/>
        <v>1.5036031211563161E-2</v>
      </c>
      <c r="K60" s="120">
        <v>423978</v>
      </c>
      <c r="L60" s="121">
        <f t="shared" si="6"/>
        <v>2.1387617441580353E-2</v>
      </c>
      <c r="M60" s="120">
        <v>453389</v>
      </c>
      <c r="N60" s="121">
        <f t="shared" si="7"/>
        <v>6.9369165381222508E-2</v>
      </c>
    </row>
    <row r="61" spans="1:15" x14ac:dyDescent="0.25">
      <c r="A61" s="1">
        <v>9</v>
      </c>
      <c r="B61" s="119" t="s">
        <v>90</v>
      </c>
      <c r="C61" s="120">
        <v>47226</v>
      </c>
      <c r="D61" s="121">
        <v>-0.86598903531174454</v>
      </c>
      <c r="E61" s="120">
        <v>196992</v>
      </c>
      <c r="F61" s="121">
        <f t="shared" si="5"/>
        <v>3.1712615931901915</v>
      </c>
      <c r="G61" s="120">
        <v>364342</v>
      </c>
      <c r="H61" s="121">
        <f t="shared" si="5"/>
        <v>0.84952688434048085</v>
      </c>
      <c r="I61" s="120">
        <v>384126</v>
      </c>
      <c r="J61" s="121">
        <f t="shared" si="5"/>
        <v>5.4300629628206476E-2</v>
      </c>
      <c r="K61" s="120">
        <v>385672</v>
      </c>
      <c r="L61" s="121">
        <f t="shared" si="6"/>
        <v>4.0247210550705681E-3</v>
      </c>
      <c r="M61" s="120">
        <v>389377</v>
      </c>
      <c r="N61" s="121">
        <f t="shared" si="7"/>
        <v>9.6066087245119114E-3</v>
      </c>
    </row>
    <row r="62" spans="1:15" x14ac:dyDescent="0.25">
      <c r="A62" s="1">
        <v>10</v>
      </c>
      <c r="B62" s="119" t="s">
        <v>92</v>
      </c>
      <c r="C62" s="120">
        <v>43327</v>
      </c>
      <c r="D62" s="121">
        <v>-0.88349574607681802</v>
      </c>
      <c r="E62" s="120">
        <v>303261</v>
      </c>
      <c r="F62" s="121">
        <f t="shared" si="5"/>
        <v>5.9993537517021718</v>
      </c>
      <c r="G62" s="120">
        <v>388751</v>
      </c>
      <c r="H62" s="121">
        <f t="shared" si="5"/>
        <v>0.28190238771223464</v>
      </c>
      <c r="I62" s="120">
        <v>392254</v>
      </c>
      <c r="J62" s="121">
        <f t="shared" si="5"/>
        <v>9.0109092966963455E-3</v>
      </c>
      <c r="K62" s="120">
        <v>410112</v>
      </c>
      <c r="L62" s="121">
        <f t="shared" si="6"/>
        <v>4.5526623055469173E-2</v>
      </c>
      <c r="M62" s="120">
        <v>442644</v>
      </c>
      <c r="N62" s="121">
        <f>IFERROR(M62/K62-1,"-")</f>
        <v>7.9324672284644127E-2</v>
      </c>
    </row>
    <row r="63" spans="1:15" x14ac:dyDescent="0.25">
      <c r="A63" s="1">
        <v>11</v>
      </c>
      <c r="B63" s="119" t="s">
        <v>94</v>
      </c>
      <c r="C63" s="120">
        <v>39419</v>
      </c>
      <c r="D63" s="121">
        <v>-0.88741481638038877</v>
      </c>
      <c r="E63" s="120">
        <v>295608</v>
      </c>
      <c r="F63" s="121">
        <f t="shared" si="5"/>
        <v>6.4991247875390039</v>
      </c>
      <c r="G63" s="120">
        <v>371295</v>
      </c>
      <c r="H63" s="121">
        <f t="shared" si="5"/>
        <v>0.25603840220832996</v>
      </c>
      <c r="I63" s="120">
        <v>361460</v>
      </c>
      <c r="J63" s="121">
        <f t="shared" si="5"/>
        <v>-2.6488371779851638E-2</v>
      </c>
      <c r="K63" s="120">
        <v>367251</v>
      </c>
      <c r="L63" s="121">
        <f t="shared" si="6"/>
        <v>1.6021136501964239E-2</v>
      </c>
      <c r="M63" s="120">
        <v>389496</v>
      </c>
      <c r="N63" s="121">
        <f>IFERROR(M63/K63-1,"-")</f>
        <v>6.0571652629945127E-2</v>
      </c>
    </row>
    <row r="64" spans="1:15" x14ac:dyDescent="0.25">
      <c r="A64" s="1">
        <v>12</v>
      </c>
      <c r="B64" s="119" t="s">
        <v>96</v>
      </c>
      <c r="C64" s="120">
        <v>43129</v>
      </c>
      <c r="D64" s="121">
        <v>-0.87992137493631206</v>
      </c>
      <c r="E64" s="120">
        <v>256762</v>
      </c>
      <c r="F64" s="121">
        <f t="shared" si="5"/>
        <v>4.9533492545618953</v>
      </c>
      <c r="G64" s="120">
        <v>375961</v>
      </c>
      <c r="H64" s="121">
        <f t="shared" si="5"/>
        <v>0.46423925658781284</v>
      </c>
      <c r="I64" s="120">
        <v>362997</v>
      </c>
      <c r="J64" s="121">
        <f t="shared" si="5"/>
        <v>-3.448230002580055E-2</v>
      </c>
      <c r="K64" s="120">
        <v>369112</v>
      </c>
      <c r="L64" s="121">
        <f t="shared" si="6"/>
        <v>1.684586924960807E-2</v>
      </c>
      <c r="M64" s="120">
        <v>364902</v>
      </c>
      <c r="N64" s="121">
        <f>IFERROR(M64/K64-1,"-")</f>
        <v>-1.1405752183619056E-2</v>
      </c>
    </row>
    <row r="65" spans="1:15" ht="15.75" x14ac:dyDescent="0.25">
      <c r="B65" s="122" t="s">
        <v>33</v>
      </c>
      <c r="C65" s="123">
        <v>1144929</v>
      </c>
      <c r="D65" s="124">
        <v>-0.72279761760646921</v>
      </c>
      <c r="E65" s="123">
        <v>1436136</v>
      </c>
      <c r="F65" s="124">
        <f t="shared" si="5"/>
        <v>0.25434502925508928</v>
      </c>
      <c r="G65" s="123">
        <v>4065438</v>
      </c>
      <c r="H65" s="124">
        <f t="shared" si="5"/>
        <v>1.8308168585704974</v>
      </c>
      <c r="I65" s="123">
        <v>4392815</v>
      </c>
      <c r="J65" s="124">
        <f t="shared" si="5"/>
        <v>8.0526870659446859E-2</v>
      </c>
      <c r="K65" s="123">
        <v>4509254</v>
      </c>
      <c r="L65" s="124">
        <f t="shared" si="6"/>
        <v>2.6506693316244778E-2</v>
      </c>
      <c r="M65" s="123">
        <v>4697242</v>
      </c>
      <c r="N65" s="124">
        <v>4.1689379218824207E-2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296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1:15" x14ac:dyDescent="0.25">
      <c r="A75" s="1">
        <v>1</v>
      </c>
      <c r="B75" s="119" t="s">
        <v>74</v>
      </c>
      <c r="C75" s="120">
        <v>130270</v>
      </c>
      <c r="D75" s="121">
        <v>0.10859593733245965</v>
      </c>
      <c r="E75" s="120">
        <v>3282</v>
      </c>
      <c r="F75" s="121">
        <f t="shared" ref="F75:J87" si="8">IFERROR(E75/C75-1,"-")</f>
        <v>-0.97480617179703688</v>
      </c>
      <c r="G75" s="120">
        <v>68210</v>
      </c>
      <c r="H75" s="121">
        <f t="shared" si="8"/>
        <v>19.783059110298598</v>
      </c>
      <c r="I75" s="120">
        <v>116896</v>
      </c>
      <c r="J75" s="121">
        <f t="shared" si="8"/>
        <v>0.71376630992523094</v>
      </c>
      <c r="K75" s="120">
        <v>88725</v>
      </c>
      <c r="L75" s="121">
        <f t="shared" ref="L75:L87" si="9">IFERROR(K75/I75-1,"-")</f>
        <v>-0.24099199288256223</v>
      </c>
      <c r="M75" s="120">
        <v>123213</v>
      </c>
      <c r="N75" s="121">
        <f t="shared" ref="N75:N86" si="10">IFERROR(M75/K75-1,"-")</f>
        <v>0.38870667793744706</v>
      </c>
    </row>
    <row r="76" spans="1:15" x14ac:dyDescent="0.25">
      <c r="A76" s="1">
        <v>2</v>
      </c>
      <c r="B76" s="119" t="s">
        <v>76</v>
      </c>
      <c r="C76" s="120">
        <v>126626</v>
      </c>
      <c r="D76" s="121">
        <v>0.103763881382821</v>
      </c>
      <c r="E76" s="120">
        <v>2221</v>
      </c>
      <c r="F76" s="121">
        <f t="shared" si="8"/>
        <v>-0.98246015826133659</v>
      </c>
      <c r="G76" s="120">
        <v>73813</v>
      </c>
      <c r="H76" s="121">
        <f t="shared" si="8"/>
        <v>32.234128770823951</v>
      </c>
      <c r="I76" s="120">
        <v>110449</v>
      </c>
      <c r="J76" s="121">
        <f t="shared" si="8"/>
        <v>0.49633533388427509</v>
      </c>
      <c r="K76" s="120">
        <v>109201</v>
      </c>
      <c r="L76" s="121">
        <f t="shared" si="9"/>
        <v>-1.1299332723700539E-2</v>
      </c>
      <c r="M76" s="120">
        <v>111976</v>
      </c>
      <c r="N76" s="121">
        <f t="shared" si="10"/>
        <v>2.54118552027911E-2</v>
      </c>
    </row>
    <row r="77" spans="1:15" x14ac:dyDescent="0.25">
      <c r="A77" s="1">
        <v>3</v>
      </c>
      <c r="B77" s="119" t="s">
        <v>78</v>
      </c>
      <c r="C77" s="120">
        <v>62098</v>
      </c>
      <c r="D77" s="121">
        <v>-0.48137136175721384</v>
      </c>
      <c r="E77" s="120">
        <v>2132</v>
      </c>
      <c r="F77" s="121">
        <f t="shared" si="8"/>
        <v>-0.96566717124545076</v>
      </c>
      <c r="G77" s="120">
        <v>104289</v>
      </c>
      <c r="H77" s="121">
        <f t="shared" si="8"/>
        <v>47.916041275797376</v>
      </c>
      <c r="I77" s="120">
        <v>123384</v>
      </c>
      <c r="J77" s="121">
        <f t="shared" si="8"/>
        <v>0.18309697091735466</v>
      </c>
      <c r="K77" s="120">
        <v>119383</v>
      </c>
      <c r="L77" s="121">
        <f t="shared" si="9"/>
        <v>-3.2427219088374537E-2</v>
      </c>
      <c r="M77" s="120">
        <v>101055</v>
      </c>
      <c r="N77" s="121">
        <f t="shared" si="10"/>
        <v>-0.1535226958612198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6078</v>
      </c>
      <c r="F78" s="121" t="str">
        <f t="shared" si="8"/>
        <v>-</v>
      </c>
      <c r="G78" s="120">
        <v>98817</v>
      </c>
      <c r="H78" s="121">
        <f t="shared" si="8"/>
        <v>15.258144126357355</v>
      </c>
      <c r="I78" s="120">
        <v>113192</v>
      </c>
      <c r="J78" s="121">
        <f t="shared" si="8"/>
        <v>0.14547092099537529</v>
      </c>
      <c r="K78" s="120">
        <v>103368</v>
      </c>
      <c r="L78" s="121">
        <f t="shared" si="9"/>
        <v>-8.679058590713129E-2</v>
      </c>
      <c r="M78" s="120">
        <v>89075</v>
      </c>
      <c r="N78" s="121">
        <f t="shared" si="10"/>
        <v>-0.13827296648866183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1966</v>
      </c>
      <c r="F79" s="121" t="str">
        <f t="shared" si="8"/>
        <v>-</v>
      </c>
      <c r="G79" s="120">
        <v>72871</v>
      </c>
      <c r="H79" s="121">
        <f t="shared" si="8"/>
        <v>36.06561546286877</v>
      </c>
      <c r="I79" s="120">
        <v>81708</v>
      </c>
      <c r="J79" s="121">
        <f t="shared" si="8"/>
        <v>0.12126909195701985</v>
      </c>
      <c r="K79" s="120">
        <v>91092</v>
      </c>
      <c r="L79" s="121">
        <f t="shared" si="9"/>
        <v>0.11484799530033785</v>
      </c>
      <c r="M79" s="120">
        <v>76719</v>
      </c>
      <c r="N79" s="121">
        <f t="shared" si="10"/>
        <v>-0.1577855355025688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6689</v>
      </c>
      <c r="F80" s="121" t="str">
        <f t="shared" si="8"/>
        <v>-</v>
      </c>
      <c r="G80" s="120">
        <v>89972</v>
      </c>
      <c r="H80" s="121">
        <f t="shared" si="8"/>
        <v>12.450740020929885</v>
      </c>
      <c r="I80" s="120">
        <v>100092</v>
      </c>
      <c r="J80" s="121">
        <f t="shared" si="8"/>
        <v>0.11247943804739258</v>
      </c>
      <c r="K80" s="120">
        <v>110435</v>
      </c>
      <c r="L80" s="121">
        <f t="shared" si="9"/>
        <v>0.10333493186268639</v>
      </c>
      <c r="M80" s="120">
        <v>91692</v>
      </c>
      <c r="N80" s="121">
        <f t="shared" si="10"/>
        <v>-0.16971974464617201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11732</v>
      </c>
      <c r="F81" s="121" t="str">
        <f t="shared" si="8"/>
        <v>-</v>
      </c>
      <c r="G81" s="120">
        <v>110924</v>
      </c>
      <c r="H81" s="121">
        <f t="shared" si="8"/>
        <v>8.4548244118649851</v>
      </c>
      <c r="I81" s="120">
        <v>111459</v>
      </c>
      <c r="J81" s="121">
        <f t="shared" si="8"/>
        <v>4.8231221376797695E-3</v>
      </c>
      <c r="K81" s="120">
        <v>125378</v>
      </c>
      <c r="L81" s="121">
        <f t="shared" si="9"/>
        <v>0.12488000071775263</v>
      </c>
      <c r="M81" s="120">
        <v>101333</v>
      </c>
      <c r="N81" s="121">
        <f t="shared" si="10"/>
        <v>-0.1917800571073075</v>
      </c>
    </row>
    <row r="82" spans="1:15" x14ac:dyDescent="0.25">
      <c r="A82" s="1">
        <v>8</v>
      </c>
      <c r="B82" s="119" t="s">
        <v>88</v>
      </c>
      <c r="C82" s="120">
        <v>26314</v>
      </c>
      <c r="D82" s="121">
        <v>-0.75144989137621609</v>
      </c>
      <c r="E82" s="120">
        <v>34356</v>
      </c>
      <c r="F82" s="121">
        <f t="shared" si="8"/>
        <v>0.30561678194117192</v>
      </c>
      <c r="G82" s="120">
        <v>121747</v>
      </c>
      <c r="H82" s="121">
        <f t="shared" si="8"/>
        <v>2.5436896029805567</v>
      </c>
      <c r="I82" s="120">
        <v>154751</v>
      </c>
      <c r="J82" s="121">
        <f t="shared" si="8"/>
        <v>0.27108676189146341</v>
      </c>
      <c r="K82" s="120">
        <v>129043</v>
      </c>
      <c r="L82" s="121">
        <f t="shared" si="9"/>
        <v>-0.16612493618781143</v>
      </c>
      <c r="M82" s="120">
        <v>93996</v>
      </c>
      <c r="N82" s="121">
        <f t="shared" si="10"/>
        <v>-0.27159163999597036</v>
      </c>
    </row>
    <row r="83" spans="1:15" x14ac:dyDescent="0.25">
      <c r="A83" s="1">
        <v>9</v>
      </c>
      <c r="B83" s="119" t="s">
        <v>90</v>
      </c>
      <c r="C83" s="120">
        <v>13344</v>
      </c>
      <c r="D83" s="121">
        <v>-0.86128032933446996</v>
      </c>
      <c r="E83" s="120">
        <v>44211</v>
      </c>
      <c r="F83" s="121">
        <f t="shared" si="8"/>
        <v>2.3131744604316546</v>
      </c>
      <c r="G83" s="120">
        <v>101870</v>
      </c>
      <c r="H83" s="121">
        <f t="shared" si="8"/>
        <v>1.3041776933342382</v>
      </c>
      <c r="I83" s="120">
        <v>107131</v>
      </c>
      <c r="J83" s="121">
        <f t="shared" si="8"/>
        <v>5.1644252478649344E-2</v>
      </c>
      <c r="K83" s="120">
        <v>114575</v>
      </c>
      <c r="L83" s="121">
        <f t="shared" si="9"/>
        <v>6.9485023009212998E-2</v>
      </c>
      <c r="M83" s="120">
        <v>96743</v>
      </c>
      <c r="N83" s="121">
        <f t="shared" si="10"/>
        <v>-0.15563604625790972</v>
      </c>
    </row>
    <row r="84" spans="1:15" x14ac:dyDescent="0.25">
      <c r="A84" s="1">
        <v>10</v>
      </c>
      <c r="B84" s="119" t="s">
        <v>92</v>
      </c>
      <c r="C84" s="120">
        <v>7994</v>
      </c>
      <c r="D84" s="121">
        <v>-0.92410303151138828</v>
      </c>
      <c r="E84" s="120">
        <v>76049</v>
      </c>
      <c r="F84" s="121">
        <f t="shared" si="8"/>
        <v>8.513259944958719</v>
      </c>
      <c r="G84" s="120">
        <v>103455</v>
      </c>
      <c r="H84" s="121">
        <f t="shared" si="8"/>
        <v>0.36037291746111055</v>
      </c>
      <c r="I84" s="120">
        <v>113220</v>
      </c>
      <c r="J84" s="121">
        <f t="shared" si="8"/>
        <v>9.4388864723792931E-2</v>
      </c>
      <c r="K84" s="120">
        <v>117494</v>
      </c>
      <c r="L84" s="121">
        <f t="shared" si="9"/>
        <v>3.7749514220102531E-2</v>
      </c>
      <c r="M84" s="120">
        <v>102655</v>
      </c>
      <c r="N84" s="121">
        <f t="shared" si="10"/>
        <v>-0.1262958108499157</v>
      </c>
    </row>
    <row r="85" spans="1:15" x14ac:dyDescent="0.25">
      <c r="A85" s="1">
        <v>11</v>
      </c>
      <c r="B85" s="119" t="s">
        <v>94</v>
      </c>
      <c r="C85" s="120">
        <v>12738</v>
      </c>
      <c r="D85" s="121">
        <v>-0.89357506892806415</v>
      </c>
      <c r="E85" s="120">
        <v>87142</v>
      </c>
      <c r="F85" s="121">
        <f t="shared" si="8"/>
        <v>5.8411053540587217</v>
      </c>
      <c r="G85" s="120">
        <v>100108</v>
      </c>
      <c r="H85" s="121">
        <f t="shared" si="8"/>
        <v>0.14879162745863073</v>
      </c>
      <c r="I85" s="120">
        <v>134010</v>
      </c>
      <c r="J85" s="121">
        <f t="shared" si="8"/>
        <v>0.33865425340632127</v>
      </c>
      <c r="K85" s="120">
        <v>117411</v>
      </c>
      <c r="L85" s="121">
        <f t="shared" si="9"/>
        <v>-0.12386389075442128</v>
      </c>
      <c r="M85" s="120">
        <v>101043</v>
      </c>
      <c r="N85" s="121">
        <f t="shared" si="10"/>
        <v>-0.13940772159337711</v>
      </c>
    </row>
    <row r="86" spans="1:15" x14ac:dyDescent="0.25">
      <c r="A86" s="1">
        <v>12</v>
      </c>
      <c r="B86" s="119" t="s">
        <v>96</v>
      </c>
      <c r="C86" s="120">
        <v>13246</v>
      </c>
      <c r="D86" s="121">
        <v>-0.895063733373472</v>
      </c>
      <c r="E86" s="120">
        <v>65952</v>
      </c>
      <c r="F86" s="121">
        <f t="shared" si="8"/>
        <v>3.9790125320851581</v>
      </c>
      <c r="G86" s="120">
        <v>105561</v>
      </c>
      <c r="H86" s="121">
        <f t="shared" si="8"/>
        <v>0.60057314410480345</v>
      </c>
      <c r="I86" s="120">
        <v>117106</v>
      </c>
      <c r="J86" s="121">
        <f t="shared" si="8"/>
        <v>0.10936804312198634</v>
      </c>
      <c r="K86" s="120">
        <v>119550</v>
      </c>
      <c r="L86" s="121">
        <f t="shared" si="9"/>
        <v>2.0869981042815899E-2</v>
      </c>
      <c r="M86" s="120">
        <v>98344</v>
      </c>
      <c r="N86" s="121">
        <f t="shared" si="10"/>
        <v>-0.17738184859891259</v>
      </c>
    </row>
    <row r="87" spans="1:15" ht="15.75" x14ac:dyDescent="0.25">
      <c r="B87" s="122" t="s">
        <v>33</v>
      </c>
      <c r="C87" s="123">
        <v>412099</v>
      </c>
      <c r="D87" s="124">
        <v>-0.69276928788802783</v>
      </c>
      <c r="E87" s="123">
        <v>341810</v>
      </c>
      <c r="F87" s="124">
        <f t="shared" si="8"/>
        <v>-0.17056338404121341</v>
      </c>
      <c r="G87" s="123">
        <v>1151637</v>
      </c>
      <c r="H87" s="124">
        <f t="shared" si="8"/>
        <v>2.3692314443696789</v>
      </c>
      <c r="I87" s="123">
        <v>1383398</v>
      </c>
      <c r="J87" s="124">
        <f t="shared" si="8"/>
        <v>0.20124483669767468</v>
      </c>
      <c r="K87" s="123">
        <v>1345655</v>
      </c>
      <c r="L87" s="124">
        <f t="shared" si="9"/>
        <v>-2.7282820995837787E-2</v>
      </c>
      <c r="M87" s="123">
        <v>1187844</v>
      </c>
      <c r="N87" s="124">
        <v>-0.11727448714566513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297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118</v>
      </c>
    </row>
    <row r="94" spans="1:15" ht="22.5" thickTop="1" thickBot="1" x14ac:dyDescent="0.3">
      <c r="B94" s="126" t="s">
        <v>99</v>
      </c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20">
        <v>392756</v>
      </c>
      <c r="D97" s="121">
        <v>-6.579642165654187E-2</v>
      </c>
      <c r="E97" s="120">
        <v>37087</v>
      </c>
      <c r="F97" s="121">
        <f t="shared" ref="F97:J109" si="11">IFERROR(E97/C97-1,"-")</f>
        <v>-0.90557241646212916</v>
      </c>
      <c r="G97" s="120">
        <v>273256</v>
      </c>
      <c r="H97" s="121">
        <f t="shared" si="11"/>
        <v>6.3679726049559147</v>
      </c>
      <c r="I97" s="120">
        <v>322382</v>
      </c>
      <c r="J97" s="121">
        <f t="shared" si="11"/>
        <v>0.17978013291565409</v>
      </c>
      <c r="K97" s="120">
        <v>372581</v>
      </c>
      <c r="L97" s="121">
        <f t="shared" ref="L97:L109" si="12">IFERROR(K97/I97-1,"-")</f>
        <v>0.15571278793481036</v>
      </c>
      <c r="M97" s="120">
        <v>360283</v>
      </c>
      <c r="N97" s="121">
        <f t="shared" ref="N97:N108" si="13">IFERROR(M97/K97-1,"-")</f>
        <v>-3.3007587611821321E-2</v>
      </c>
    </row>
    <row r="98" spans="2:14" x14ac:dyDescent="0.25">
      <c r="B98" s="119" t="s">
        <v>76</v>
      </c>
      <c r="C98" s="120">
        <v>368766</v>
      </c>
      <c r="D98" s="121">
        <v>-5.3492365383578822E-2</v>
      </c>
      <c r="E98" s="120">
        <v>36927</v>
      </c>
      <c r="F98" s="121">
        <f t="shared" si="11"/>
        <v>-0.89986332796407476</v>
      </c>
      <c r="G98" s="120">
        <v>278825</v>
      </c>
      <c r="H98" s="121">
        <f t="shared" si="11"/>
        <v>6.5507081539253118</v>
      </c>
      <c r="I98" s="120">
        <v>330373</v>
      </c>
      <c r="J98" s="121">
        <f t="shared" si="11"/>
        <v>0.1848758181655159</v>
      </c>
      <c r="K98" s="120">
        <v>361695</v>
      </c>
      <c r="L98" s="121">
        <f t="shared" si="12"/>
        <v>9.4807989757032196E-2</v>
      </c>
      <c r="M98" s="120">
        <v>337232</v>
      </c>
      <c r="N98" s="121">
        <f t="shared" si="13"/>
        <v>-6.7634332794205054E-2</v>
      </c>
    </row>
    <row r="99" spans="2:14" x14ac:dyDescent="0.25">
      <c r="B99" s="119" t="s">
        <v>78</v>
      </c>
      <c r="C99" s="120">
        <v>166587</v>
      </c>
      <c r="D99" s="121">
        <v>-0.59968808798898454</v>
      </c>
      <c r="E99" s="120">
        <v>51576</v>
      </c>
      <c r="F99" s="121">
        <f t="shared" si="11"/>
        <v>-0.69039600929244171</v>
      </c>
      <c r="G99" s="120">
        <v>320977</v>
      </c>
      <c r="H99" s="121">
        <f t="shared" si="11"/>
        <v>5.2233790910501012</v>
      </c>
      <c r="I99" s="120">
        <v>348975</v>
      </c>
      <c r="J99" s="121">
        <f t="shared" si="11"/>
        <v>8.7227433741358329E-2</v>
      </c>
      <c r="K99" s="120">
        <v>371061</v>
      </c>
      <c r="L99" s="121">
        <f t="shared" si="12"/>
        <v>6.3288201160541568E-2</v>
      </c>
      <c r="M99" s="120">
        <v>350991</v>
      </c>
      <c r="N99" s="121">
        <f t="shared" si="13"/>
        <v>-5.4088141841907356E-2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49922</v>
      </c>
      <c r="F100" s="121" t="str">
        <f t="shared" si="11"/>
        <v>-</v>
      </c>
      <c r="G100" s="120">
        <v>299942</v>
      </c>
      <c r="H100" s="121">
        <f t="shared" si="11"/>
        <v>5.0082128119866995</v>
      </c>
      <c r="I100" s="120">
        <v>301422</v>
      </c>
      <c r="J100" s="121">
        <f t="shared" si="11"/>
        <v>4.9342872955437933E-3</v>
      </c>
      <c r="K100" s="120">
        <v>342387</v>
      </c>
      <c r="L100" s="121">
        <f t="shared" si="12"/>
        <v>0.13590580647729755</v>
      </c>
      <c r="M100" s="120">
        <v>340110</v>
      </c>
      <c r="N100" s="121">
        <f t="shared" si="13"/>
        <v>-6.6503693189285951E-3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49884</v>
      </c>
      <c r="F101" s="121" t="str">
        <f t="shared" si="11"/>
        <v>-</v>
      </c>
      <c r="G101" s="120">
        <v>264313</v>
      </c>
      <c r="H101" s="121">
        <f t="shared" si="11"/>
        <v>4.2985526421297413</v>
      </c>
      <c r="I101" s="120">
        <v>248609</v>
      </c>
      <c r="J101" s="121">
        <f t="shared" si="11"/>
        <v>-5.9414406404527997E-2</v>
      </c>
      <c r="K101" s="120">
        <v>311050</v>
      </c>
      <c r="L101" s="121">
        <f t="shared" si="12"/>
        <v>0.25116146237666381</v>
      </c>
      <c r="M101" s="120">
        <v>299395</v>
      </c>
      <c r="N101" s="121">
        <f t="shared" si="13"/>
        <v>-3.7469860151101098E-2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69163</v>
      </c>
      <c r="F102" s="121" t="str">
        <f t="shared" si="11"/>
        <v>-</v>
      </c>
      <c r="G102" s="120">
        <v>264139</v>
      </c>
      <c r="H102" s="121">
        <f t="shared" si="11"/>
        <v>2.819079565663722</v>
      </c>
      <c r="I102" s="120">
        <v>303811</v>
      </c>
      <c r="J102" s="121">
        <f t="shared" si="11"/>
        <v>0.15019364804137214</v>
      </c>
      <c r="K102" s="120">
        <v>322357</v>
      </c>
      <c r="L102" s="121">
        <f t="shared" si="12"/>
        <v>6.104453097484952E-2</v>
      </c>
      <c r="M102" s="120">
        <v>325305</v>
      </c>
      <c r="N102" s="121">
        <f t="shared" si="13"/>
        <v>9.1451403257878372E-3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140926</v>
      </c>
      <c r="F103" s="121" t="str">
        <f t="shared" si="11"/>
        <v>-</v>
      </c>
      <c r="G103" s="120">
        <v>366484</v>
      </c>
      <c r="H103" s="121">
        <f t="shared" si="11"/>
        <v>1.6005421284929677</v>
      </c>
      <c r="I103" s="120">
        <v>360662</v>
      </c>
      <c r="J103" s="121">
        <f t="shared" si="11"/>
        <v>-1.5886095982362125E-2</v>
      </c>
      <c r="K103" s="120">
        <v>364585</v>
      </c>
      <c r="L103" s="121">
        <f t="shared" si="12"/>
        <v>1.0877220222812456E-2</v>
      </c>
      <c r="M103" s="120">
        <v>387290</v>
      </c>
      <c r="N103" s="121">
        <f t="shared" si="13"/>
        <v>6.2276286736974829E-2</v>
      </c>
    </row>
    <row r="104" spans="2:14" x14ac:dyDescent="0.25">
      <c r="B104" s="119" t="s">
        <v>88</v>
      </c>
      <c r="C104" s="120">
        <v>95197</v>
      </c>
      <c r="D104" s="121">
        <v>-0.80134099057174701</v>
      </c>
      <c r="E104" s="120">
        <v>188954</v>
      </c>
      <c r="F104" s="121">
        <f t="shared" si="11"/>
        <v>0.98487347290355798</v>
      </c>
      <c r="G104" s="120">
        <v>364768</v>
      </c>
      <c r="H104" s="121">
        <f t="shared" si="11"/>
        <v>0.9304592652179895</v>
      </c>
      <c r="I104" s="120">
        <v>377346</v>
      </c>
      <c r="J104" s="121">
        <f t="shared" si="11"/>
        <v>3.4482191420299957E-2</v>
      </c>
      <c r="K104" s="120">
        <v>383258</v>
      </c>
      <c r="L104" s="121">
        <f t="shared" si="12"/>
        <v>1.5667318588245216E-2</v>
      </c>
      <c r="M104" s="120">
        <v>361249</v>
      </c>
      <c r="N104" s="121">
        <f t="shared" si="13"/>
        <v>-5.7426068079466042E-2</v>
      </c>
    </row>
    <row r="105" spans="2:14" x14ac:dyDescent="0.25">
      <c r="B105" s="119" t="s">
        <v>90</v>
      </c>
      <c r="C105" s="120">
        <v>45220</v>
      </c>
      <c r="D105" s="121">
        <v>-0.87020665901262917</v>
      </c>
      <c r="E105" s="120">
        <v>181666</v>
      </c>
      <c r="F105" s="121">
        <f t="shared" si="11"/>
        <v>3.0173816895179124</v>
      </c>
      <c r="G105" s="120">
        <v>282430</v>
      </c>
      <c r="H105" s="121">
        <f t="shared" si="11"/>
        <v>0.55466625565598404</v>
      </c>
      <c r="I105" s="120">
        <v>308611</v>
      </c>
      <c r="J105" s="121">
        <f t="shared" si="11"/>
        <v>9.2699075877208603E-2</v>
      </c>
      <c r="K105" s="120">
        <v>307433</v>
      </c>
      <c r="L105" s="121">
        <f t="shared" si="12"/>
        <v>-3.8171030844655895E-3</v>
      </c>
      <c r="M105" s="120">
        <v>329182</v>
      </c>
      <c r="N105" s="121">
        <f t="shared" si="13"/>
        <v>7.0743869395933467E-2</v>
      </c>
    </row>
    <row r="106" spans="2:14" x14ac:dyDescent="0.25">
      <c r="B106" s="119" t="s">
        <v>92</v>
      </c>
      <c r="C106" s="120">
        <v>50318</v>
      </c>
      <c r="D106" s="121">
        <v>-0.8565486491032509</v>
      </c>
      <c r="E106" s="120">
        <v>248102</v>
      </c>
      <c r="F106" s="121">
        <f t="shared" si="11"/>
        <v>3.9306808696689055</v>
      </c>
      <c r="G106" s="120">
        <v>309730</v>
      </c>
      <c r="H106" s="121">
        <f t="shared" si="11"/>
        <v>0.24839783637374957</v>
      </c>
      <c r="I106" s="120">
        <v>357942</v>
      </c>
      <c r="J106" s="121">
        <f t="shared" si="11"/>
        <v>0.1556581538759565</v>
      </c>
      <c r="K106" s="120">
        <v>342715</v>
      </c>
      <c r="L106" s="121">
        <f t="shared" si="12"/>
        <v>-4.2540411575059611E-2</v>
      </c>
      <c r="M106" s="120">
        <v>354131</v>
      </c>
      <c r="N106" s="121">
        <f t="shared" si="13"/>
        <v>3.3310476635104891E-2</v>
      </c>
    </row>
    <row r="107" spans="2:14" x14ac:dyDescent="0.25">
      <c r="B107" s="119" t="s">
        <v>94</v>
      </c>
      <c r="C107" s="120">
        <v>58618</v>
      </c>
      <c r="D107" s="121">
        <v>-0.8364722325286853</v>
      </c>
      <c r="E107" s="120">
        <v>278166</v>
      </c>
      <c r="F107" s="121">
        <f t="shared" si="11"/>
        <v>3.7454024361117746</v>
      </c>
      <c r="G107" s="120">
        <v>314515</v>
      </c>
      <c r="H107" s="121">
        <f t="shared" si="11"/>
        <v>0.13067377033857475</v>
      </c>
      <c r="I107" s="120">
        <v>352307</v>
      </c>
      <c r="J107" s="121">
        <f t="shared" si="11"/>
        <v>0.1201596108293721</v>
      </c>
      <c r="K107" s="120">
        <v>332795</v>
      </c>
      <c r="L107" s="121">
        <f t="shared" si="12"/>
        <v>-5.5383514945771761E-2</v>
      </c>
      <c r="M107" s="120">
        <v>325075</v>
      </c>
      <c r="N107" s="121">
        <f t="shared" si="13"/>
        <v>-2.3197463904205295E-2</v>
      </c>
    </row>
    <row r="108" spans="2:14" x14ac:dyDescent="0.25">
      <c r="B108" s="119" t="s">
        <v>96</v>
      </c>
      <c r="C108" s="120">
        <v>61865</v>
      </c>
      <c r="D108" s="121">
        <v>-0.8363385766363497</v>
      </c>
      <c r="E108" s="120">
        <v>256843</v>
      </c>
      <c r="F108" s="121">
        <f t="shared" si="11"/>
        <v>3.1516689565990461</v>
      </c>
      <c r="G108" s="120">
        <v>308789</v>
      </c>
      <c r="H108" s="121">
        <f t="shared" si="11"/>
        <v>0.2022480659391146</v>
      </c>
      <c r="I108" s="120">
        <v>351674</v>
      </c>
      <c r="J108" s="121">
        <f t="shared" si="11"/>
        <v>0.13888124253130774</v>
      </c>
      <c r="K108" s="120">
        <v>346293</v>
      </c>
      <c r="L108" s="121">
        <f t="shared" si="12"/>
        <v>-1.5301102725819971E-2</v>
      </c>
      <c r="M108" s="120">
        <v>338805</v>
      </c>
      <c r="N108" s="121">
        <f t="shared" si="13"/>
        <v>-2.1623307430412964E-2</v>
      </c>
    </row>
    <row r="109" spans="2:14" ht="15.75" x14ac:dyDescent="0.25">
      <c r="B109" s="122" t="s">
        <v>33</v>
      </c>
      <c r="C109" s="123">
        <v>1301412</v>
      </c>
      <c r="D109" s="124">
        <v>-0.71842750981567716</v>
      </c>
      <c r="E109" s="123">
        <v>1589216</v>
      </c>
      <c r="F109" s="124">
        <f t="shared" si="11"/>
        <v>0.22114749210857121</v>
      </c>
      <c r="G109" s="123">
        <v>3648168</v>
      </c>
      <c r="H109" s="124">
        <f t="shared" si="11"/>
        <v>1.2955771902623683</v>
      </c>
      <c r="I109" s="123">
        <v>3964114</v>
      </c>
      <c r="J109" s="124">
        <f t="shared" si="11"/>
        <v>8.6604016043120735E-2</v>
      </c>
      <c r="K109" s="123">
        <v>4158210</v>
      </c>
      <c r="L109" s="124">
        <f t="shared" si="12"/>
        <v>4.8963274012805869E-2</v>
      </c>
      <c r="M109" s="123">
        <v>4109048</v>
      </c>
      <c r="N109" s="124">
        <v>-1.1822875708538017E-2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3" spans="3:3" x14ac:dyDescent="0.25">
      <c r="C113" s="12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9917-41B5-4138-BF67-BD49F3E82DC7}">
  <sheetPr>
    <tabColor rgb="FFF29140"/>
    <pageSetUpPr fitToPage="1"/>
  </sheetPr>
  <dimension ref="A1:N162"/>
  <sheetViews>
    <sheetView showGridLines="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4" spans="1:12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</row>
    <row r="5" spans="1:12" ht="6" customHeight="1" x14ac:dyDescent="0.25"/>
    <row r="6" spans="1:12" s="148" customFormat="1" ht="72" customHeight="1" x14ac:dyDescent="0.25">
      <c r="B6" s="149"/>
      <c r="C6" s="174" t="s">
        <v>265</v>
      </c>
      <c r="D6" s="174" t="s">
        <v>231</v>
      </c>
      <c r="E6" s="174" t="s">
        <v>232</v>
      </c>
      <c r="F6" s="174" t="s">
        <v>233</v>
      </c>
      <c r="G6" s="174" t="s">
        <v>234</v>
      </c>
      <c r="H6" s="174" t="s">
        <v>235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526371</v>
      </c>
      <c r="D8" s="178">
        <v>2093338</v>
      </c>
      <c r="E8" s="178">
        <v>2818920</v>
      </c>
      <c r="F8" s="178">
        <v>2932508</v>
      </c>
      <c r="G8" s="178">
        <v>2933977</v>
      </c>
      <c r="H8" s="178">
        <v>2852822</v>
      </c>
      <c r="I8" s="179">
        <f>IFERROR(H8/G8-1,"-")</f>
        <v>-2.7660407699174216E-2</v>
      </c>
      <c r="J8" s="178">
        <f>H8-G8</f>
        <v>-81155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80710</v>
      </c>
      <c r="D9" s="162">
        <v>221025</v>
      </c>
      <c r="E9" s="162">
        <v>302176</v>
      </c>
      <c r="F9" s="162">
        <v>277480</v>
      </c>
      <c r="G9" s="162">
        <v>265995</v>
      </c>
      <c r="H9" s="162">
        <v>261825</v>
      </c>
      <c r="I9" s="163">
        <f>IFERROR(H9/G9-1,"-")</f>
        <v>-1.5676986409518978E-2</v>
      </c>
      <c r="J9" s="162">
        <f t="shared" ref="J9:J19" si="0">H9-G9</f>
        <v>-4170</v>
      </c>
      <c r="K9" s="163">
        <f>H9/H$8</f>
        <v>9.1777545181578102E-2</v>
      </c>
      <c r="L9" s="81"/>
    </row>
    <row r="10" spans="1:12" x14ac:dyDescent="0.25">
      <c r="A10" s="164" t="s">
        <v>106</v>
      </c>
      <c r="B10" s="165" t="s">
        <v>106</v>
      </c>
      <c r="C10" s="166">
        <v>38429</v>
      </c>
      <c r="D10" s="166">
        <v>75264</v>
      </c>
      <c r="E10" s="166">
        <v>85417</v>
      </c>
      <c r="F10" s="166">
        <v>86685</v>
      </c>
      <c r="G10" s="166">
        <v>78033</v>
      </c>
      <c r="H10" s="166">
        <v>72445</v>
      </c>
      <c r="I10" s="167">
        <f>IFERROR(H10/G10-1,"-")</f>
        <v>-7.1610728794228029E-2</v>
      </c>
      <c r="J10" s="166">
        <f t="shared" si="0"/>
        <v>-5588</v>
      </c>
      <c r="K10" s="167">
        <f>H10/H$8</f>
        <v>2.5394153578456698E-2</v>
      </c>
      <c r="L10" s="81"/>
    </row>
    <row r="11" spans="1:12" x14ac:dyDescent="0.25">
      <c r="A11" s="164" t="s">
        <v>103</v>
      </c>
      <c r="B11" s="165" t="s">
        <v>103</v>
      </c>
      <c r="C11" s="166">
        <v>42281</v>
      </c>
      <c r="D11" s="166">
        <v>145761</v>
      </c>
      <c r="E11" s="166">
        <v>216759</v>
      </c>
      <c r="F11" s="166">
        <v>190795</v>
      </c>
      <c r="G11" s="166">
        <v>187962</v>
      </c>
      <c r="H11" s="166">
        <v>189380</v>
      </c>
      <c r="I11" s="167">
        <f>IFERROR(H11/G11-1,"-")</f>
        <v>7.5440780583309053E-3</v>
      </c>
      <c r="J11" s="166">
        <f t="shared" si="0"/>
        <v>1418</v>
      </c>
      <c r="K11" s="167">
        <f>H11/H$8</f>
        <v>6.63833916031214E-2</v>
      </c>
      <c r="L11" s="81"/>
    </row>
    <row r="12" spans="1:12" x14ac:dyDescent="0.25">
      <c r="A12" s="1"/>
      <c r="B12" s="161" t="s">
        <v>110</v>
      </c>
      <c r="C12" s="162">
        <v>445661</v>
      </c>
      <c r="D12" s="162">
        <v>1872313</v>
      </c>
      <c r="E12" s="162">
        <v>2516744</v>
      </c>
      <c r="F12" s="162">
        <v>2655028</v>
      </c>
      <c r="G12" s="162">
        <v>2667982</v>
      </c>
      <c r="H12" s="162">
        <v>2590997</v>
      </c>
      <c r="I12" s="163">
        <f>IFERROR(H12/G12-1,"-")</f>
        <v>-2.8855142201109296E-2</v>
      </c>
      <c r="J12" s="162">
        <f t="shared" si="0"/>
        <v>-76985</v>
      </c>
      <c r="K12" s="163">
        <f>H12/H$8</f>
        <v>0.9082224548184219</v>
      </c>
      <c r="L12" s="81"/>
    </row>
    <row r="13" spans="1:12" s="58" customFormat="1" x14ac:dyDescent="0.25">
      <c r="A13" s="164"/>
      <c r="B13" s="165" t="s">
        <v>113</v>
      </c>
      <c r="C13" s="166">
        <v>227075</v>
      </c>
      <c r="D13" s="166">
        <v>608137</v>
      </c>
      <c r="E13" s="166">
        <v>1043010</v>
      </c>
      <c r="F13" s="166">
        <v>1102993</v>
      </c>
      <c r="G13" s="166">
        <v>1084347</v>
      </c>
      <c r="H13" s="166">
        <v>1048579</v>
      </c>
      <c r="I13" s="167">
        <f t="shared" ref="I13:I20" si="1">IFERROR(H13/G13-1,"-")</f>
        <v>-3.2985750871261654E-2</v>
      </c>
      <c r="J13" s="166">
        <f t="shared" si="0"/>
        <v>-35768</v>
      </c>
      <c r="K13" s="167">
        <f t="shared" ref="K13:K20" si="2">H13/H$8</f>
        <v>0.36755850873275653</v>
      </c>
      <c r="L13" s="168"/>
    </row>
    <row r="14" spans="1:12" s="58" customFormat="1" x14ac:dyDescent="0.25">
      <c r="A14" s="164"/>
      <c r="B14" s="165" t="s">
        <v>116</v>
      </c>
      <c r="C14" s="166">
        <v>61166</v>
      </c>
      <c r="D14" s="166">
        <v>303136</v>
      </c>
      <c r="E14" s="166">
        <v>330779</v>
      </c>
      <c r="F14" s="166">
        <v>367223</v>
      </c>
      <c r="G14" s="166">
        <v>373378</v>
      </c>
      <c r="H14" s="166">
        <v>354110</v>
      </c>
      <c r="I14" s="167">
        <f t="shared" si="1"/>
        <v>-5.1604540171086621E-2</v>
      </c>
      <c r="J14" s="166">
        <f t="shared" si="0"/>
        <v>-19268</v>
      </c>
      <c r="K14" s="167">
        <f t="shared" si="2"/>
        <v>0.12412621607657261</v>
      </c>
      <c r="L14" s="168"/>
    </row>
    <row r="15" spans="1:12" x14ac:dyDescent="0.25">
      <c r="A15" s="164"/>
      <c r="B15" s="165" t="s">
        <v>119</v>
      </c>
      <c r="C15" s="166">
        <v>26842</v>
      </c>
      <c r="D15" s="166">
        <v>93032</v>
      </c>
      <c r="E15" s="166">
        <v>115679</v>
      </c>
      <c r="F15" s="166">
        <v>104485</v>
      </c>
      <c r="G15" s="166">
        <v>110814</v>
      </c>
      <c r="H15" s="166">
        <v>107676</v>
      </c>
      <c r="I15" s="167">
        <f t="shared" si="1"/>
        <v>-2.8317721587524991E-2</v>
      </c>
      <c r="J15" s="166">
        <f t="shared" si="0"/>
        <v>-3138</v>
      </c>
      <c r="K15" s="167">
        <f t="shared" si="2"/>
        <v>3.7743679766911502E-2</v>
      </c>
      <c r="L15" s="81"/>
    </row>
    <row r="16" spans="1:12" x14ac:dyDescent="0.25">
      <c r="A16" s="164"/>
      <c r="B16" s="165" t="s">
        <v>126</v>
      </c>
      <c r="C16" s="166">
        <v>11490</v>
      </c>
      <c r="D16" s="166">
        <v>97951</v>
      </c>
      <c r="E16" s="166">
        <v>89069</v>
      </c>
      <c r="F16" s="166">
        <v>102150</v>
      </c>
      <c r="G16" s="166">
        <v>105932</v>
      </c>
      <c r="H16" s="166">
        <v>98493</v>
      </c>
      <c r="I16" s="167">
        <f t="shared" si="1"/>
        <v>-7.0224294830646072E-2</v>
      </c>
      <c r="J16" s="166">
        <f t="shared" si="0"/>
        <v>-7439</v>
      </c>
      <c r="K16" s="167">
        <f t="shared" si="2"/>
        <v>3.4524761797266004E-2</v>
      </c>
      <c r="L16" s="81"/>
    </row>
    <row r="17" spans="1:12" x14ac:dyDescent="0.25">
      <c r="A17" s="164"/>
      <c r="B17" s="165" t="s">
        <v>122</v>
      </c>
      <c r="C17" s="166">
        <v>19664</v>
      </c>
      <c r="D17" s="166">
        <v>112413</v>
      </c>
      <c r="E17" s="166">
        <v>105632</v>
      </c>
      <c r="F17" s="166">
        <v>114035</v>
      </c>
      <c r="G17" s="166">
        <v>116758</v>
      </c>
      <c r="H17" s="166">
        <v>117526</v>
      </c>
      <c r="I17" s="167">
        <f t="shared" si="1"/>
        <v>6.5777077373712078E-3</v>
      </c>
      <c r="J17" s="166">
        <f t="shared" si="0"/>
        <v>768</v>
      </c>
      <c r="K17" s="167">
        <f t="shared" si="2"/>
        <v>4.119640131771278E-2</v>
      </c>
      <c r="L17" s="81"/>
    </row>
    <row r="18" spans="1:12" x14ac:dyDescent="0.25">
      <c r="A18" s="164"/>
      <c r="B18" s="165" t="s">
        <v>131</v>
      </c>
      <c r="C18" s="166">
        <v>769</v>
      </c>
      <c r="D18" s="166">
        <v>58459</v>
      </c>
      <c r="E18" s="166">
        <v>65089</v>
      </c>
      <c r="F18" s="166">
        <v>58957</v>
      </c>
      <c r="G18" s="166">
        <v>60881</v>
      </c>
      <c r="H18" s="166">
        <v>57082</v>
      </c>
      <c r="I18" s="167">
        <f t="shared" si="1"/>
        <v>-6.2400420492436104E-2</v>
      </c>
      <c r="J18" s="166">
        <f t="shared" si="0"/>
        <v>-3799</v>
      </c>
      <c r="K18" s="167">
        <f t="shared" si="2"/>
        <v>2.000895954952675E-2</v>
      </c>
      <c r="L18" s="81"/>
    </row>
    <row r="19" spans="1:12" x14ac:dyDescent="0.25">
      <c r="A19" s="164" t="s">
        <v>147</v>
      </c>
      <c r="B19" s="165" t="s">
        <v>134</v>
      </c>
      <c r="C19" s="166">
        <v>5352</v>
      </c>
      <c r="D19" s="166">
        <v>63983</v>
      </c>
      <c r="E19" s="166">
        <v>88432</v>
      </c>
      <c r="F19" s="166">
        <v>93431</v>
      </c>
      <c r="G19" s="166">
        <v>83807</v>
      </c>
      <c r="H19" s="166">
        <v>79879</v>
      </c>
      <c r="I19" s="167">
        <f t="shared" si="1"/>
        <v>-4.6869593232068962E-2</v>
      </c>
      <c r="J19" s="166">
        <f t="shared" si="0"/>
        <v>-3928</v>
      </c>
      <c r="K19" s="167">
        <f t="shared" si="2"/>
        <v>2.7999994391518294E-2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93303</v>
      </c>
      <c r="D20" s="171">
        <f t="shared" ref="D20:H20" si="4">D12-SUM(D13:D19)</f>
        <v>535202</v>
      </c>
      <c r="E20" s="171">
        <f t="shared" si="4"/>
        <v>679054</v>
      </c>
      <c r="F20" s="171">
        <f t="shared" si="4"/>
        <v>711754</v>
      </c>
      <c r="G20" s="171">
        <f t="shared" si="4"/>
        <v>732065</v>
      </c>
      <c r="H20" s="171">
        <f t="shared" si="4"/>
        <v>727652</v>
      </c>
      <c r="I20" s="172">
        <f t="shared" si="1"/>
        <v>-6.0281532377589597E-3</v>
      </c>
      <c r="J20" s="171">
        <f>H20-G20</f>
        <v>-4413</v>
      </c>
      <c r="K20" s="172">
        <f t="shared" si="2"/>
        <v>0.25506393318615744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196628</v>
      </c>
      <c r="D22" s="178">
        <v>829853</v>
      </c>
      <c r="E22" s="178">
        <v>1109322</v>
      </c>
      <c r="F22" s="178">
        <v>1155840</v>
      </c>
      <c r="G22" s="178">
        <v>1140612</v>
      </c>
      <c r="H22" s="178">
        <v>1104771</v>
      </c>
      <c r="I22" s="179">
        <f>IFERROR(H22/G22-1,"-")</f>
        <v>-3.14226047069468E-2</v>
      </c>
      <c r="J22" s="178">
        <f>H22-G22</f>
        <v>-35841</v>
      </c>
      <c r="K22" s="179">
        <f>H22/H$8</f>
        <v>0.38725549648733781</v>
      </c>
      <c r="L22" s="81"/>
    </row>
    <row r="23" spans="1:12" x14ac:dyDescent="0.25">
      <c r="A23" s="164" t="s">
        <v>99</v>
      </c>
      <c r="B23" s="161" t="s">
        <v>100</v>
      </c>
      <c r="C23" s="162">
        <v>21994</v>
      </c>
      <c r="D23" s="162">
        <v>59976</v>
      </c>
      <c r="E23" s="162">
        <v>69802</v>
      </c>
      <c r="F23" s="162">
        <v>58414</v>
      </c>
      <c r="G23" s="162">
        <v>51791</v>
      </c>
      <c r="H23" s="162">
        <v>49469</v>
      </c>
      <c r="I23" s="163">
        <f>IFERROR(H23/G23-1,"-")</f>
        <v>-4.4834044525110528E-2</v>
      </c>
      <c r="J23" s="162">
        <f t="shared" ref="J23:J33" si="5">H23-G23</f>
        <v>-2322</v>
      </c>
      <c r="K23" s="163">
        <f>H23/H$8</f>
        <v>1.7340373847369375E-2</v>
      </c>
      <c r="L23" s="81"/>
    </row>
    <row r="24" spans="1:12" x14ac:dyDescent="0.25">
      <c r="A24" s="164" t="s">
        <v>106</v>
      </c>
      <c r="B24" s="165" t="s">
        <v>106</v>
      </c>
      <c r="C24" s="166">
        <v>8943</v>
      </c>
      <c r="D24" s="166">
        <v>17534</v>
      </c>
      <c r="E24" s="166">
        <v>24371</v>
      </c>
      <c r="F24" s="166">
        <v>17678</v>
      </c>
      <c r="G24" s="166">
        <v>12305</v>
      </c>
      <c r="H24" s="166">
        <v>11783</v>
      </c>
      <c r="I24" s="167">
        <f>IFERROR(H24/G24-1,"-")</f>
        <v>-4.2421779764323486E-2</v>
      </c>
      <c r="J24" s="166">
        <f t="shared" si="5"/>
        <v>-522</v>
      </c>
      <c r="K24" s="167">
        <f>H24/H$8</f>
        <v>4.1302962470143598E-3</v>
      </c>
      <c r="L24" s="81"/>
    </row>
    <row r="25" spans="1:12" x14ac:dyDescent="0.25">
      <c r="A25" s="164" t="s">
        <v>103</v>
      </c>
      <c r="B25" s="165" t="s">
        <v>12</v>
      </c>
      <c r="C25" s="166">
        <v>13051</v>
      </c>
      <c r="D25" s="166">
        <v>42442</v>
      </c>
      <c r="E25" s="166">
        <v>45431</v>
      </c>
      <c r="F25" s="166">
        <v>40736</v>
      </c>
      <c r="G25" s="166">
        <v>39486</v>
      </c>
      <c r="H25" s="166">
        <v>37686</v>
      </c>
      <c r="I25" s="167">
        <f>IFERROR(H25/G25-1,"-")</f>
        <v>-4.5585777237501901E-2</v>
      </c>
      <c r="J25" s="166">
        <f t="shared" si="5"/>
        <v>-1800</v>
      </c>
      <c r="K25" s="167">
        <f>H25/H$8</f>
        <v>1.3210077600355016E-2</v>
      </c>
      <c r="L25" s="81"/>
    </row>
    <row r="26" spans="1:12" x14ac:dyDescent="0.25">
      <c r="A26" s="164"/>
      <c r="B26" s="161" t="s">
        <v>110</v>
      </c>
      <c r="C26" s="162">
        <v>174634</v>
      </c>
      <c r="D26" s="162">
        <v>769877</v>
      </c>
      <c r="E26" s="162">
        <v>1039520</v>
      </c>
      <c r="F26" s="162">
        <v>1097426</v>
      </c>
      <c r="G26" s="162">
        <v>1088821</v>
      </c>
      <c r="H26" s="162">
        <v>1055302</v>
      </c>
      <c r="I26" s="163">
        <f>IFERROR(H26/G26-1,"-")</f>
        <v>-3.0784674432252856E-2</v>
      </c>
      <c r="J26" s="162">
        <f t="shared" si="5"/>
        <v>-33519</v>
      </c>
      <c r="K26" s="163">
        <f>H26/H$8</f>
        <v>0.3699151226399684</v>
      </c>
      <c r="L26" s="81"/>
    </row>
    <row r="27" spans="1:12" s="58" customFormat="1" x14ac:dyDescent="0.25">
      <c r="A27" s="164"/>
      <c r="B27" s="165" t="s">
        <v>113</v>
      </c>
      <c r="C27" s="166">
        <v>85691</v>
      </c>
      <c r="D27" s="166">
        <v>283867</v>
      </c>
      <c r="E27" s="166">
        <v>489037</v>
      </c>
      <c r="F27" s="166">
        <v>512982</v>
      </c>
      <c r="G27" s="166">
        <v>516610</v>
      </c>
      <c r="H27" s="166">
        <v>490018</v>
      </c>
      <c r="I27" s="167">
        <f t="shared" ref="I27:I34" si="6">IFERROR(H27/G27-1,"-")</f>
        <v>-5.1474032635837497E-2</v>
      </c>
      <c r="J27" s="166">
        <f t="shared" si="5"/>
        <v>-26592</v>
      </c>
      <c r="K27" s="167">
        <f t="shared" ref="K27:K34" si="7">H27/H$8</f>
        <v>0.17176606181528326</v>
      </c>
      <c r="L27" s="168"/>
    </row>
    <row r="28" spans="1:12" s="58" customFormat="1" x14ac:dyDescent="0.25">
      <c r="A28" s="164"/>
      <c r="B28" s="165" t="s">
        <v>116</v>
      </c>
      <c r="C28" s="166">
        <v>28095</v>
      </c>
      <c r="D28" s="166">
        <v>120676</v>
      </c>
      <c r="E28" s="166">
        <v>129270</v>
      </c>
      <c r="F28" s="166">
        <v>136539</v>
      </c>
      <c r="G28" s="166">
        <v>136566</v>
      </c>
      <c r="H28" s="166">
        <v>127525</v>
      </c>
      <c r="I28" s="167">
        <f t="shared" si="6"/>
        <v>-6.6202422272015005E-2</v>
      </c>
      <c r="J28" s="166">
        <f t="shared" si="5"/>
        <v>-9041</v>
      </c>
      <c r="K28" s="167">
        <f t="shared" si="7"/>
        <v>4.4701351854409425E-2</v>
      </c>
      <c r="L28" s="168"/>
    </row>
    <row r="29" spans="1:12" x14ac:dyDescent="0.25">
      <c r="A29" s="164"/>
      <c r="B29" s="165" t="s">
        <v>119</v>
      </c>
      <c r="C29" s="166">
        <v>11448</v>
      </c>
      <c r="D29" s="166">
        <v>37306</v>
      </c>
      <c r="E29" s="166">
        <v>40785</v>
      </c>
      <c r="F29" s="166">
        <v>34236</v>
      </c>
      <c r="G29" s="166">
        <v>31889</v>
      </c>
      <c r="H29" s="166">
        <v>31631</v>
      </c>
      <c r="I29" s="167">
        <f t="shared" si="6"/>
        <v>-8.0905641443758114E-3</v>
      </c>
      <c r="J29" s="166">
        <f t="shared" si="5"/>
        <v>-258</v>
      </c>
      <c r="K29" s="167">
        <f t="shared" si="7"/>
        <v>1.1087617804405602E-2</v>
      </c>
      <c r="L29" s="81"/>
    </row>
    <row r="30" spans="1:12" x14ac:dyDescent="0.25">
      <c r="A30" s="164"/>
      <c r="B30" s="165" t="s">
        <v>126</v>
      </c>
      <c r="C30" s="166">
        <v>3619</v>
      </c>
      <c r="D30" s="166">
        <v>40632</v>
      </c>
      <c r="E30" s="166">
        <v>35693</v>
      </c>
      <c r="F30" s="166">
        <v>40203</v>
      </c>
      <c r="G30" s="166">
        <v>41998</v>
      </c>
      <c r="H30" s="166">
        <v>41791</v>
      </c>
      <c r="I30" s="167">
        <f t="shared" si="6"/>
        <v>-4.9288061336254518E-3</v>
      </c>
      <c r="J30" s="166">
        <f t="shared" si="5"/>
        <v>-207</v>
      </c>
      <c r="K30" s="167">
        <f t="shared" si="7"/>
        <v>1.4649003688277783E-2</v>
      </c>
      <c r="L30" s="81"/>
    </row>
    <row r="31" spans="1:12" x14ac:dyDescent="0.25">
      <c r="A31" s="164"/>
      <c r="B31" s="165" t="s">
        <v>122</v>
      </c>
      <c r="C31" s="166">
        <v>11833</v>
      </c>
      <c r="D31" s="166">
        <v>63614</v>
      </c>
      <c r="E31" s="166">
        <v>56047</v>
      </c>
      <c r="F31" s="166">
        <v>60367</v>
      </c>
      <c r="G31" s="166">
        <v>60564</v>
      </c>
      <c r="H31" s="166">
        <v>65718</v>
      </c>
      <c r="I31" s="167">
        <f t="shared" si="6"/>
        <v>8.5100059441252318E-2</v>
      </c>
      <c r="J31" s="166">
        <f t="shared" si="5"/>
        <v>5154</v>
      </c>
      <c r="K31" s="167">
        <f t="shared" si="7"/>
        <v>2.3036137550818101E-2</v>
      </c>
      <c r="L31" s="81"/>
    </row>
    <row r="32" spans="1:12" x14ac:dyDescent="0.25">
      <c r="A32" s="164"/>
      <c r="B32" s="165" t="s">
        <v>131</v>
      </c>
      <c r="C32" s="166">
        <v>185</v>
      </c>
      <c r="D32" s="166">
        <v>19240</v>
      </c>
      <c r="E32" s="166">
        <v>20337</v>
      </c>
      <c r="F32" s="166">
        <v>18652</v>
      </c>
      <c r="G32" s="166">
        <v>18647</v>
      </c>
      <c r="H32" s="166">
        <v>21603</v>
      </c>
      <c r="I32" s="167">
        <f t="shared" si="6"/>
        <v>0.15852415938220621</v>
      </c>
      <c r="J32" s="166">
        <f t="shared" si="5"/>
        <v>2956</v>
      </c>
      <c r="K32" s="167">
        <f t="shared" si="7"/>
        <v>7.5725018946152262E-3</v>
      </c>
      <c r="L32" s="81"/>
    </row>
    <row r="33" spans="1:12" x14ac:dyDescent="0.25">
      <c r="A33" s="164" t="s">
        <v>147</v>
      </c>
      <c r="B33" s="165" t="s">
        <v>134</v>
      </c>
      <c r="C33" s="166">
        <v>625</v>
      </c>
      <c r="D33" s="166">
        <v>17228</v>
      </c>
      <c r="E33" s="166">
        <v>31233</v>
      </c>
      <c r="F33" s="166">
        <v>33233</v>
      </c>
      <c r="G33" s="166">
        <v>24573</v>
      </c>
      <c r="H33" s="166">
        <v>28967</v>
      </c>
      <c r="I33" s="167">
        <f t="shared" si="6"/>
        <v>0.17881414560696696</v>
      </c>
      <c r="J33" s="166">
        <f t="shared" si="5"/>
        <v>4394</v>
      </c>
      <c r="K33" s="167">
        <f t="shared" si="7"/>
        <v>1.0153805600209197E-2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33138</v>
      </c>
      <c r="D34" s="171">
        <f t="shared" ref="D34:H34" si="9">D26-SUM(D27:D33)</f>
        <v>187314</v>
      </c>
      <c r="E34" s="171">
        <f t="shared" si="9"/>
        <v>237118</v>
      </c>
      <c r="F34" s="171">
        <f t="shared" si="9"/>
        <v>261214</v>
      </c>
      <c r="G34" s="171">
        <f t="shared" si="9"/>
        <v>257974</v>
      </c>
      <c r="H34" s="171">
        <f t="shared" si="9"/>
        <v>248049</v>
      </c>
      <c r="I34" s="172">
        <f t="shared" si="6"/>
        <v>-3.8472869358927686E-2</v>
      </c>
      <c r="J34" s="171">
        <f>H34-G34</f>
        <v>-9925</v>
      </c>
      <c r="K34" s="172">
        <f t="shared" si="7"/>
        <v>8.6948642431949844E-2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118240</v>
      </c>
      <c r="D36" s="178">
        <v>579557</v>
      </c>
      <c r="E36" s="178">
        <v>790311</v>
      </c>
      <c r="F36" s="178">
        <v>831777</v>
      </c>
      <c r="G36" s="178">
        <v>834955</v>
      </c>
      <c r="H36" s="178">
        <v>802051</v>
      </c>
      <c r="I36" s="179">
        <f>IFERROR(H36/G36-1,"-")</f>
        <v>-3.9408111814409175E-2</v>
      </c>
      <c r="J36" s="178">
        <f>H36-G36</f>
        <v>-32904</v>
      </c>
      <c r="K36" s="179">
        <f>H36/H$8</f>
        <v>0.2811430225930675</v>
      </c>
      <c r="L36" s="81"/>
    </row>
    <row r="37" spans="1:12" x14ac:dyDescent="0.25">
      <c r="A37" s="164" t="s">
        <v>99</v>
      </c>
      <c r="B37" s="161" t="s">
        <v>100</v>
      </c>
      <c r="C37" s="162">
        <v>8464</v>
      </c>
      <c r="D37" s="162">
        <v>32687</v>
      </c>
      <c r="E37" s="162">
        <v>36689</v>
      </c>
      <c r="F37" s="162">
        <v>45648</v>
      </c>
      <c r="G37" s="162">
        <v>41448</v>
      </c>
      <c r="H37" s="162">
        <v>40323</v>
      </c>
      <c r="I37" s="163">
        <f>IFERROR(H37/G37-1,"-")</f>
        <v>-2.7142443543717421E-2</v>
      </c>
      <c r="J37" s="162">
        <f t="shared" ref="J37:J47" si="10">H37-G37</f>
        <v>-1125</v>
      </c>
      <c r="K37" s="163">
        <f>H37/H$8</f>
        <v>1.4134425491671054E-2</v>
      </c>
      <c r="L37" s="81"/>
    </row>
    <row r="38" spans="1:12" x14ac:dyDescent="0.25">
      <c r="A38" s="164" t="s">
        <v>106</v>
      </c>
      <c r="B38" s="165" t="s">
        <v>106</v>
      </c>
      <c r="C38" s="166">
        <v>3690</v>
      </c>
      <c r="D38" s="166">
        <v>8475</v>
      </c>
      <c r="E38" s="166">
        <v>6329</v>
      </c>
      <c r="F38" s="166">
        <v>14489</v>
      </c>
      <c r="G38" s="166">
        <v>16652</v>
      </c>
      <c r="H38" s="166">
        <v>16418</v>
      </c>
      <c r="I38" s="167">
        <f>IFERROR(H38/G38-1,"-")</f>
        <v>-1.4052366082152323E-2</v>
      </c>
      <c r="J38" s="166">
        <f t="shared" si="10"/>
        <v>-234</v>
      </c>
      <c r="K38" s="167">
        <f>H38/H$8</f>
        <v>5.7550032914777021E-3</v>
      </c>
      <c r="L38" s="81"/>
    </row>
    <row r="39" spans="1:12" x14ac:dyDescent="0.25">
      <c r="A39" s="164" t="s">
        <v>103</v>
      </c>
      <c r="B39" s="165" t="s">
        <v>103</v>
      </c>
      <c r="C39" s="166">
        <v>4774</v>
      </c>
      <c r="D39" s="166">
        <v>24212</v>
      </c>
      <c r="E39" s="166">
        <v>30360</v>
      </c>
      <c r="F39" s="166">
        <v>31159</v>
      </c>
      <c r="G39" s="166">
        <v>24796</v>
      </c>
      <c r="H39" s="166">
        <v>23905</v>
      </c>
      <c r="I39" s="167">
        <f>IFERROR(H39/G39-1,"-")</f>
        <v>-3.5933215034683053E-2</v>
      </c>
      <c r="J39" s="166">
        <f t="shared" si="10"/>
        <v>-891</v>
      </c>
      <c r="K39" s="167">
        <f>H39/H$8</f>
        <v>8.3794222001933524E-3</v>
      </c>
      <c r="L39" s="81"/>
    </row>
    <row r="40" spans="1:12" x14ac:dyDescent="0.25">
      <c r="A40" s="164"/>
      <c r="B40" s="161" t="s">
        <v>110</v>
      </c>
      <c r="C40" s="162">
        <v>109776</v>
      </c>
      <c r="D40" s="162">
        <v>546870</v>
      </c>
      <c r="E40" s="162">
        <v>753622</v>
      </c>
      <c r="F40" s="162">
        <v>786129</v>
      </c>
      <c r="G40" s="162">
        <v>793507</v>
      </c>
      <c r="H40" s="162">
        <v>761728</v>
      </c>
      <c r="I40" s="163">
        <f>IFERROR(H40/G40-1,"-")</f>
        <v>-4.0048796040866641E-2</v>
      </c>
      <c r="J40" s="162">
        <f t="shared" si="10"/>
        <v>-31779</v>
      </c>
      <c r="K40" s="163">
        <f>H40/H$8</f>
        <v>0.26700859710139646</v>
      </c>
      <c r="L40" s="81"/>
    </row>
    <row r="41" spans="1:12" s="58" customFormat="1" x14ac:dyDescent="0.25">
      <c r="A41" s="164"/>
      <c r="B41" s="165" t="s">
        <v>113</v>
      </c>
      <c r="C41" s="166">
        <v>59517</v>
      </c>
      <c r="D41" s="166">
        <v>187921</v>
      </c>
      <c r="E41" s="166">
        <v>335204</v>
      </c>
      <c r="F41" s="166">
        <v>352959</v>
      </c>
      <c r="G41" s="166">
        <v>347949</v>
      </c>
      <c r="H41" s="166">
        <v>338110</v>
      </c>
      <c r="I41" s="167">
        <f t="shared" ref="I41:I48" si="11">IFERROR(H41/G41-1,"-")</f>
        <v>-2.8277132568278684E-2</v>
      </c>
      <c r="J41" s="166">
        <f t="shared" si="10"/>
        <v>-9839</v>
      </c>
      <c r="K41" s="167">
        <f t="shared" ref="K41:K48" si="12">H41/H$8</f>
        <v>0.11851773436968728</v>
      </c>
      <c r="L41" s="168"/>
    </row>
    <row r="42" spans="1:12" s="58" customFormat="1" x14ac:dyDescent="0.25">
      <c r="A42" s="164"/>
      <c r="B42" s="165" t="s">
        <v>116</v>
      </c>
      <c r="C42" s="166">
        <v>7245</v>
      </c>
      <c r="D42" s="166">
        <v>32431</v>
      </c>
      <c r="E42" s="166">
        <v>35573</v>
      </c>
      <c r="F42" s="166">
        <v>37684</v>
      </c>
      <c r="G42" s="166">
        <v>41905</v>
      </c>
      <c r="H42" s="166">
        <v>42165</v>
      </c>
      <c r="I42" s="167">
        <f t="shared" si="11"/>
        <v>6.2045102016465847E-3</v>
      </c>
      <c r="J42" s="166">
        <f t="shared" si="10"/>
        <v>260</v>
      </c>
      <c r="K42" s="167">
        <f t="shared" si="12"/>
        <v>1.4780101948176227E-2</v>
      </c>
      <c r="L42" s="168"/>
    </row>
    <row r="43" spans="1:12" x14ac:dyDescent="0.25">
      <c r="A43" s="164"/>
      <c r="B43" s="165" t="s">
        <v>119</v>
      </c>
      <c r="C43" s="166">
        <v>3667</v>
      </c>
      <c r="D43" s="166">
        <v>15332</v>
      </c>
      <c r="E43" s="166">
        <v>20052</v>
      </c>
      <c r="F43" s="166">
        <v>19000</v>
      </c>
      <c r="G43" s="166">
        <v>19682</v>
      </c>
      <c r="H43" s="166">
        <v>19820</v>
      </c>
      <c r="I43" s="167">
        <f t="shared" si="11"/>
        <v>7.0114825729092889E-3</v>
      </c>
      <c r="J43" s="166">
        <f t="shared" si="10"/>
        <v>138</v>
      </c>
      <c r="K43" s="167">
        <f t="shared" si="12"/>
        <v>6.9475067144041938E-3</v>
      </c>
      <c r="L43" s="81"/>
    </row>
    <row r="44" spans="1:12" x14ac:dyDescent="0.25">
      <c r="A44" s="164"/>
      <c r="B44" s="165" t="s">
        <v>126</v>
      </c>
      <c r="C44" s="166">
        <v>4288</v>
      </c>
      <c r="D44" s="166">
        <v>34190</v>
      </c>
      <c r="E44" s="166">
        <v>34614</v>
      </c>
      <c r="F44" s="166">
        <v>39875</v>
      </c>
      <c r="G44" s="166">
        <v>39037</v>
      </c>
      <c r="H44" s="166">
        <v>35841</v>
      </c>
      <c r="I44" s="167">
        <f t="shared" si="11"/>
        <v>-8.187104541844914E-2</v>
      </c>
      <c r="J44" s="166">
        <f t="shared" si="10"/>
        <v>-3196</v>
      </c>
      <c r="K44" s="167">
        <f t="shared" si="12"/>
        <v>1.2563349553529803E-2</v>
      </c>
      <c r="L44" s="81"/>
    </row>
    <row r="45" spans="1:12" x14ac:dyDescent="0.25">
      <c r="A45" s="164"/>
      <c r="B45" s="165" t="s">
        <v>122</v>
      </c>
      <c r="C45" s="166">
        <v>4175</v>
      </c>
      <c r="D45" s="166">
        <v>33539</v>
      </c>
      <c r="E45" s="166">
        <v>36172</v>
      </c>
      <c r="F45" s="166">
        <v>39946</v>
      </c>
      <c r="G45" s="166">
        <v>40752</v>
      </c>
      <c r="H45" s="166">
        <v>34793</v>
      </c>
      <c r="I45" s="167">
        <f t="shared" si="11"/>
        <v>-0.14622595210051037</v>
      </c>
      <c r="J45" s="166">
        <f t="shared" si="10"/>
        <v>-5959</v>
      </c>
      <c r="K45" s="167">
        <f t="shared" si="12"/>
        <v>1.2195994001728815E-2</v>
      </c>
      <c r="L45" s="81"/>
    </row>
    <row r="46" spans="1:12" x14ac:dyDescent="0.25">
      <c r="A46" s="164"/>
      <c r="B46" s="165" t="s">
        <v>131</v>
      </c>
      <c r="C46" s="166">
        <v>305</v>
      </c>
      <c r="D46" s="166">
        <v>22805</v>
      </c>
      <c r="E46" s="166">
        <v>22903</v>
      </c>
      <c r="F46" s="166">
        <v>21949</v>
      </c>
      <c r="G46" s="166">
        <v>25573</v>
      </c>
      <c r="H46" s="166">
        <v>20916</v>
      </c>
      <c r="I46" s="167">
        <f t="shared" si="11"/>
        <v>-0.18210612755640709</v>
      </c>
      <c r="J46" s="166">
        <f t="shared" si="10"/>
        <v>-4657</v>
      </c>
      <c r="K46" s="167">
        <f t="shared" si="12"/>
        <v>7.3316877113258384E-3</v>
      </c>
      <c r="L46" s="81"/>
    </row>
    <row r="47" spans="1:12" x14ac:dyDescent="0.25">
      <c r="A47" s="164" t="s">
        <v>147</v>
      </c>
      <c r="B47" s="165" t="s">
        <v>134</v>
      </c>
      <c r="C47" s="166">
        <v>3934</v>
      </c>
      <c r="D47" s="166">
        <v>31477</v>
      </c>
      <c r="E47" s="166">
        <v>35181</v>
      </c>
      <c r="F47" s="166">
        <v>38319</v>
      </c>
      <c r="G47" s="166">
        <v>34431</v>
      </c>
      <c r="H47" s="166">
        <v>29558</v>
      </c>
      <c r="I47" s="167">
        <f t="shared" si="11"/>
        <v>-0.14152943568296017</v>
      </c>
      <c r="J47" s="166">
        <f t="shared" si="10"/>
        <v>-4873</v>
      </c>
      <c r="K47" s="167">
        <f t="shared" si="12"/>
        <v>1.0360968893257274E-2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26645</v>
      </c>
      <c r="D48" s="171">
        <f t="shared" ref="D48:H48" si="14">D40-SUM(D41:D47)</f>
        <v>189175</v>
      </c>
      <c r="E48" s="171">
        <f t="shared" si="14"/>
        <v>233923</v>
      </c>
      <c r="F48" s="171">
        <f t="shared" si="14"/>
        <v>236397</v>
      </c>
      <c r="G48" s="171">
        <f t="shared" si="14"/>
        <v>244178</v>
      </c>
      <c r="H48" s="171">
        <f t="shared" si="14"/>
        <v>240525</v>
      </c>
      <c r="I48" s="172">
        <f t="shared" si="11"/>
        <v>-1.496039774263036E-2</v>
      </c>
      <c r="J48" s="171">
        <f>H48-G48</f>
        <v>-3653</v>
      </c>
      <c r="K48" s="172">
        <f t="shared" si="12"/>
        <v>8.4311253909287009E-2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3004</v>
      </c>
      <c r="D50" s="178">
        <v>14831</v>
      </c>
      <c r="E50" s="178">
        <v>18070</v>
      </c>
      <c r="F50" s="178">
        <v>19927</v>
      </c>
      <c r="G50" s="178">
        <v>18514</v>
      </c>
      <c r="H50" s="178">
        <v>17246</v>
      </c>
      <c r="I50" s="179">
        <f>IFERROR(H50/G50-1,"-")</f>
        <v>-6.8488711245543898E-2</v>
      </c>
      <c r="J50" s="178">
        <f>H50-G50</f>
        <v>-1268</v>
      </c>
      <c r="K50" s="179">
        <f>H50/H$8</f>
        <v>6.0452422198090175E-3</v>
      </c>
      <c r="L50" s="81"/>
    </row>
    <row r="51" spans="1:12" x14ac:dyDescent="0.25">
      <c r="A51" s="164" t="s">
        <v>99</v>
      </c>
      <c r="B51" s="161" t="s">
        <v>100</v>
      </c>
      <c r="C51" s="162">
        <v>9</v>
      </c>
      <c r="D51" s="162">
        <v>1060</v>
      </c>
      <c r="E51" s="162">
        <v>2919</v>
      </c>
      <c r="F51" s="162">
        <v>4029</v>
      </c>
      <c r="G51" s="162">
        <v>2061</v>
      </c>
      <c r="H51" s="162">
        <v>1808</v>
      </c>
      <c r="I51" s="163">
        <f>IFERROR(H51/G51-1,"-")</f>
        <v>-0.12275594371664245</v>
      </c>
      <c r="J51" s="162">
        <f t="shared" ref="J51:J61" si="15">H51-G51</f>
        <v>-253</v>
      </c>
      <c r="K51" s="163">
        <f>H51/H$8</f>
        <v>6.3375843287804146E-4</v>
      </c>
      <c r="L51" s="81"/>
    </row>
    <row r="52" spans="1:12" x14ac:dyDescent="0.25">
      <c r="A52" s="164" t="s">
        <v>106</v>
      </c>
      <c r="B52" s="165" t="s">
        <v>106</v>
      </c>
      <c r="C52" s="166">
        <v>0</v>
      </c>
      <c r="D52" s="166">
        <v>222</v>
      </c>
      <c r="E52" s="166">
        <v>1307</v>
      </c>
      <c r="F52" s="166">
        <v>2341</v>
      </c>
      <c r="G52" s="166">
        <v>988</v>
      </c>
      <c r="H52" s="166">
        <v>838</v>
      </c>
      <c r="I52" s="167">
        <f>IFERROR(H52/G52-1,"-")</f>
        <v>-0.15182186234817818</v>
      </c>
      <c r="J52" s="166">
        <f t="shared" si="15"/>
        <v>-150</v>
      </c>
      <c r="K52" s="167">
        <f>H52/H$8</f>
        <v>2.937442293981188E-4</v>
      </c>
      <c r="L52" s="81"/>
    </row>
    <row r="53" spans="1:12" x14ac:dyDescent="0.25">
      <c r="A53" s="164" t="s">
        <v>103</v>
      </c>
      <c r="B53" s="165" t="s">
        <v>103</v>
      </c>
      <c r="C53" s="166">
        <v>9</v>
      </c>
      <c r="D53" s="166">
        <v>838</v>
      </c>
      <c r="E53" s="166">
        <v>1612</v>
      </c>
      <c r="F53" s="166">
        <v>1688</v>
      </c>
      <c r="G53" s="166">
        <v>1073</v>
      </c>
      <c r="H53" s="166">
        <v>970</v>
      </c>
      <c r="I53" s="167">
        <f>IFERROR(H53/G53-1,"-")</f>
        <v>-9.599254426840631E-2</v>
      </c>
      <c r="J53" s="166">
        <f t="shared" si="15"/>
        <v>-103</v>
      </c>
      <c r="K53" s="167">
        <f>H53/H$8</f>
        <v>3.4001420347992266E-4</v>
      </c>
      <c r="L53" s="81"/>
    </row>
    <row r="54" spans="1:12" x14ac:dyDescent="0.25">
      <c r="A54" s="164"/>
      <c r="B54" s="161" t="s">
        <v>110</v>
      </c>
      <c r="C54" s="162">
        <v>2995</v>
      </c>
      <c r="D54" s="162">
        <v>13771</v>
      </c>
      <c r="E54" s="162">
        <v>15151</v>
      </c>
      <c r="F54" s="162">
        <v>15898</v>
      </c>
      <c r="G54" s="162">
        <v>16453</v>
      </c>
      <c r="H54" s="162">
        <v>15438</v>
      </c>
      <c r="I54" s="163">
        <f>IFERROR(H54/G54-1,"-")</f>
        <v>-6.1690877043700243E-2</v>
      </c>
      <c r="J54" s="162">
        <f t="shared" si="15"/>
        <v>-1015</v>
      </c>
      <c r="K54" s="163">
        <f>H54/H$8</f>
        <v>5.411483786930976E-3</v>
      </c>
      <c r="L54" s="81"/>
    </row>
    <row r="55" spans="1:12" s="58" customFormat="1" x14ac:dyDescent="0.25">
      <c r="A55" s="164"/>
      <c r="B55" s="165" t="s">
        <v>113</v>
      </c>
      <c r="C55" s="166">
        <v>350</v>
      </c>
      <c r="D55" s="166">
        <v>3721</v>
      </c>
      <c r="E55" s="166">
        <v>5200</v>
      </c>
      <c r="F55" s="166">
        <v>5463</v>
      </c>
      <c r="G55" s="166">
        <v>5875</v>
      </c>
      <c r="H55" s="166">
        <v>5604</v>
      </c>
      <c r="I55" s="167">
        <f t="shared" ref="I55:I62" si="16">IFERROR(H55/G55-1,"-")</f>
        <v>-4.6127659574468072E-2</v>
      </c>
      <c r="J55" s="166">
        <f t="shared" si="15"/>
        <v>-271</v>
      </c>
      <c r="K55" s="167">
        <f t="shared" ref="K55:K62" si="17">H55/H$8</f>
        <v>1.9643707178365844E-3</v>
      </c>
      <c r="L55" s="168"/>
    </row>
    <row r="56" spans="1:12" s="58" customFormat="1" x14ac:dyDescent="0.25">
      <c r="A56" s="164"/>
      <c r="B56" s="165" t="s">
        <v>116</v>
      </c>
      <c r="C56" s="166">
        <v>1915</v>
      </c>
      <c r="D56" s="166">
        <v>6300</v>
      </c>
      <c r="E56" s="166">
        <v>4554</v>
      </c>
      <c r="F56" s="166">
        <v>4805</v>
      </c>
      <c r="G56" s="166">
        <v>4165</v>
      </c>
      <c r="H56" s="166">
        <v>4237</v>
      </c>
      <c r="I56" s="167">
        <f t="shared" si="16"/>
        <v>1.7286914765906269E-2</v>
      </c>
      <c r="J56" s="166">
        <f t="shared" si="15"/>
        <v>72</v>
      </c>
      <c r="K56" s="167">
        <f t="shared" si="17"/>
        <v>1.4851960620045695E-3</v>
      </c>
      <c r="L56" s="168"/>
    </row>
    <row r="57" spans="1:12" x14ac:dyDescent="0.25">
      <c r="A57" s="164"/>
      <c r="B57" s="165" t="s">
        <v>119</v>
      </c>
      <c r="C57" s="166">
        <v>42</v>
      </c>
      <c r="D57" s="166">
        <v>310</v>
      </c>
      <c r="E57" s="166">
        <v>830</v>
      </c>
      <c r="F57" s="166">
        <v>599</v>
      </c>
      <c r="G57" s="166">
        <v>475</v>
      </c>
      <c r="H57" s="166">
        <v>487</v>
      </c>
      <c r="I57" s="167">
        <f t="shared" si="16"/>
        <v>2.5263157894736876E-2</v>
      </c>
      <c r="J57" s="166">
        <f t="shared" si="15"/>
        <v>12</v>
      </c>
      <c r="K57" s="167">
        <f t="shared" si="17"/>
        <v>1.70708161953322E-4</v>
      </c>
      <c r="L57" s="81"/>
    </row>
    <row r="58" spans="1:12" x14ac:dyDescent="0.25">
      <c r="A58" s="164"/>
      <c r="B58" s="165" t="s">
        <v>126</v>
      </c>
      <c r="C58" s="166">
        <v>45</v>
      </c>
      <c r="D58" s="166">
        <v>328</v>
      </c>
      <c r="E58" s="166">
        <v>267</v>
      </c>
      <c r="F58" s="166">
        <v>264</v>
      </c>
      <c r="G58" s="166">
        <v>470</v>
      </c>
      <c r="H58" s="166">
        <v>399</v>
      </c>
      <c r="I58" s="167">
        <f t="shared" si="16"/>
        <v>-0.15106382978723409</v>
      </c>
      <c r="J58" s="166">
        <f t="shared" si="15"/>
        <v>-71</v>
      </c>
      <c r="K58" s="167">
        <f t="shared" si="17"/>
        <v>1.3986151256545272E-4</v>
      </c>
      <c r="L58" s="81"/>
    </row>
    <row r="59" spans="1:12" x14ac:dyDescent="0.25">
      <c r="A59" s="164"/>
      <c r="B59" s="165" t="s">
        <v>122</v>
      </c>
      <c r="C59" s="166">
        <v>213</v>
      </c>
      <c r="D59" s="166">
        <v>147</v>
      </c>
      <c r="E59" s="166">
        <v>223</v>
      </c>
      <c r="F59" s="166">
        <v>254</v>
      </c>
      <c r="G59" s="166">
        <v>363</v>
      </c>
      <c r="H59" s="166">
        <v>476</v>
      </c>
      <c r="I59" s="167">
        <f t="shared" si="16"/>
        <v>0.31129476584022031</v>
      </c>
      <c r="J59" s="166">
        <f t="shared" si="15"/>
        <v>113</v>
      </c>
      <c r="K59" s="167">
        <f t="shared" si="17"/>
        <v>1.6685233077983836E-4</v>
      </c>
      <c r="L59" s="81"/>
    </row>
    <row r="60" spans="1:12" x14ac:dyDescent="0.25">
      <c r="A60" s="164"/>
      <c r="B60" s="165" t="s">
        <v>131</v>
      </c>
      <c r="C60" s="166">
        <v>0</v>
      </c>
      <c r="D60" s="166">
        <v>105</v>
      </c>
      <c r="E60" s="166">
        <v>177</v>
      </c>
      <c r="F60" s="166">
        <v>139</v>
      </c>
      <c r="G60" s="166">
        <v>145</v>
      </c>
      <c r="H60" s="166">
        <v>104</v>
      </c>
      <c r="I60" s="167">
        <f t="shared" si="16"/>
        <v>-0.28275862068965518</v>
      </c>
      <c r="J60" s="166">
        <f t="shared" si="15"/>
        <v>-41</v>
      </c>
      <c r="K60" s="167">
        <f t="shared" si="17"/>
        <v>3.6455131094754595E-5</v>
      </c>
      <c r="L60" s="81"/>
    </row>
    <row r="61" spans="1:12" x14ac:dyDescent="0.25">
      <c r="A61" s="164" t="s">
        <v>147</v>
      </c>
      <c r="B61" s="165" t="s">
        <v>134</v>
      </c>
      <c r="C61" s="166">
        <v>19</v>
      </c>
      <c r="D61" s="166">
        <v>111</v>
      </c>
      <c r="E61" s="166">
        <v>131</v>
      </c>
      <c r="F61" s="166">
        <v>73</v>
      </c>
      <c r="G61" s="166">
        <v>164</v>
      </c>
      <c r="H61" s="166">
        <v>115</v>
      </c>
      <c r="I61" s="167">
        <f t="shared" si="16"/>
        <v>-0.29878048780487809</v>
      </c>
      <c r="J61" s="166">
        <f t="shared" si="15"/>
        <v>-49</v>
      </c>
      <c r="K61" s="167">
        <f t="shared" si="17"/>
        <v>4.0310962268238255E-5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411</v>
      </c>
      <c r="D62" s="171">
        <f t="shared" ref="D62:H62" si="19">D54-SUM(D55:D61)</f>
        <v>2749</v>
      </c>
      <c r="E62" s="171">
        <f t="shared" si="19"/>
        <v>3769</v>
      </c>
      <c r="F62" s="171">
        <f t="shared" si="19"/>
        <v>4301</v>
      </c>
      <c r="G62" s="171">
        <f t="shared" si="19"/>
        <v>4796</v>
      </c>
      <c r="H62" s="171">
        <f t="shared" si="19"/>
        <v>4016</v>
      </c>
      <c r="I62" s="172">
        <f t="shared" si="16"/>
        <v>-0.16263552960800665</v>
      </c>
      <c r="J62" s="171">
        <f>H62-G62</f>
        <v>-780</v>
      </c>
      <c r="K62" s="172">
        <f t="shared" si="17"/>
        <v>1.4077289084282159E-3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61856</v>
      </c>
      <c r="D64" s="178">
        <v>57766</v>
      </c>
      <c r="E64" s="178">
        <v>92826</v>
      </c>
      <c r="F64" s="178">
        <v>71642</v>
      </c>
      <c r="G64" s="178">
        <v>86200</v>
      </c>
      <c r="H64" s="178">
        <v>85017</v>
      </c>
      <c r="I64" s="179">
        <f>IFERROR(H64/G64-1,"-")</f>
        <v>-1.3723897911832927E-2</v>
      </c>
      <c r="J64" s="178">
        <f>H64-G64</f>
        <v>-1183</v>
      </c>
      <c r="K64" s="179">
        <f>H64/H$8</f>
        <v>2.9801018079641844E-2</v>
      </c>
      <c r="L64" s="81"/>
    </row>
    <row r="65" spans="1:12" x14ac:dyDescent="0.25">
      <c r="A65" s="164" t="s">
        <v>99</v>
      </c>
      <c r="B65" s="161" t="s">
        <v>100</v>
      </c>
      <c r="C65" s="162">
        <v>8944</v>
      </c>
      <c r="D65" s="162">
        <v>3534</v>
      </c>
      <c r="E65" s="162">
        <v>4602</v>
      </c>
      <c r="F65" s="162">
        <v>15115</v>
      </c>
      <c r="G65" s="162">
        <v>16204</v>
      </c>
      <c r="H65" s="162">
        <v>11818</v>
      </c>
      <c r="I65" s="163">
        <f>IFERROR(H65/G65-1,"-")</f>
        <v>-0.27067390767711674</v>
      </c>
      <c r="J65" s="162">
        <f t="shared" ref="J65:J75" si="20">H65-G65</f>
        <v>-4386</v>
      </c>
      <c r="K65" s="163">
        <f>H65/H$8</f>
        <v>4.1425648007481714E-3</v>
      </c>
      <c r="L65" s="81"/>
    </row>
    <row r="66" spans="1:12" x14ac:dyDescent="0.25">
      <c r="A66" s="164" t="s">
        <v>106</v>
      </c>
      <c r="B66" s="165" t="s">
        <v>106</v>
      </c>
      <c r="C66" s="166">
        <v>1121</v>
      </c>
      <c r="D66" s="166">
        <v>592</v>
      </c>
      <c r="E66" s="166">
        <v>969</v>
      </c>
      <c r="F66" s="166">
        <v>6204</v>
      </c>
      <c r="G66" s="166">
        <v>4275</v>
      </c>
      <c r="H66" s="166">
        <v>3723</v>
      </c>
      <c r="I66" s="167">
        <f>IFERROR(H66/G66-1,"-")</f>
        <v>-0.12912280701754386</v>
      </c>
      <c r="J66" s="166">
        <f t="shared" si="20"/>
        <v>-552</v>
      </c>
      <c r="K66" s="167">
        <f>H66/H$8</f>
        <v>1.3050235871708785E-3</v>
      </c>
      <c r="L66" s="81"/>
    </row>
    <row r="67" spans="1:12" x14ac:dyDescent="0.25">
      <c r="A67" s="164" t="s">
        <v>103</v>
      </c>
      <c r="B67" s="165" t="s">
        <v>103</v>
      </c>
      <c r="C67" s="166">
        <v>7823</v>
      </c>
      <c r="D67" s="166">
        <v>2942</v>
      </c>
      <c r="E67" s="166">
        <v>3633</v>
      </c>
      <c r="F67" s="166">
        <v>8911</v>
      </c>
      <c r="G67" s="166">
        <v>11929</v>
      </c>
      <c r="H67" s="166">
        <v>8095</v>
      </c>
      <c r="I67" s="167">
        <f>IFERROR(H67/G67-1,"-")</f>
        <v>-0.32140162628887581</v>
      </c>
      <c r="J67" s="166">
        <f t="shared" si="20"/>
        <v>-3834</v>
      </c>
      <c r="K67" s="167">
        <f>H67/H$8</f>
        <v>2.8375412135772929E-3</v>
      </c>
      <c r="L67" s="81"/>
    </row>
    <row r="68" spans="1:12" x14ac:dyDescent="0.25">
      <c r="A68" s="164"/>
      <c r="B68" s="161" t="s">
        <v>110</v>
      </c>
      <c r="C68" s="162">
        <v>52912</v>
      </c>
      <c r="D68" s="162">
        <v>54232</v>
      </c>
      <c r="E68" s="162">
        <v>88224</v>
      </c>
      <c r="F68" s="162">
        <v>56527</v>
      </c>
      <c r="G68" s="162">
        <v>69996</v>
      </c>
      <c r="H68" s="162">
        <v>73199</v>
      </c>
      <c r="I68" s="163">
        <f>IFERROR(H68/G68-1,"-")</f>
        <v>4.5759757700440051E-2</v>
      </c>
      <c r="J68" s="162">
        <f t="shared" si="20"/>
        <v>3203</v>
      </c>
      <c r="K68" s="163">
        <f>H68/H$8</f>
        <v>2.565845327889367E-2</v>
      </c>
      <c r="L68" s="81"/>
    </row>
    <row r="69" spans="1:12" s="58" customFormat="1" x14ac:dyDescent="0.25">
      <c r="A69" s="164"/>
      <c r="B69" s="165" t="s">
        <v>113</v>
      </c>
      <c r="C69" s="166">
        <v>35775</v>
      </c>
      <c r="D69" s="166">
        <v>10966</v>
      </c>
      <c r="E69" s="166">
        <v>29417</v>
      </c>
      <c r="F69" s="166">
        <v>25945</v>
      </c>
      <c r="G69" s="166">
        <v>25089</v>
      </c>
      <c r="H69" s="166">
        <v>31444</v>
      </c>
      <c r="I69" s="167">
        <f t="shared" ref="I69:I76" si="21">IFERROR(H69/G69-1,"-")</f>
        <v>0.2532982582008052</v>
      </c>
      <c r="J69" s="166">
        <f t="shared" si="20"/>
        <v>6355</v>
      </c>
      <c r="K69" s="167">
        <f t="shared" ref="K69:K76" si="22">H69/H$8</f>
        <v>1.1022068674456381E-2</v>
      </c>
      <c r="L69" s="168"/>
    </row>
    <row r="70" spans="1:12" s="58" customFormat="1" x14ac:dyDescent="0.25">
      <c r="A70" s="164"/>
      <c r="B70" s="165" t="s">
        <v>116</v>
      </c>
      <c r="C70" s="166">
        <v>3201</v>
      </c>
      <c r="D70" s="166">
        <v>2579</v>
      </c>
      <c r="E70" s="166">
        <v>3771</v>
      </c>
      <c r="F70" s="166">
        <v>8580</v>
      </c>
      <c r="G70" s="166">
        <v>7575</v>
      </c>
      <c r="H70" s="166">
        <v>6302</v>
      </c>
      <c r="I70" s="167">
        <f t="shared" si="21"/>
        <v>-0.16805280528052802</v>
      </c>
      <c r="J70" s="166">
        <f t="shared" si="20"/>
        <v>-1273</v>
      </c>
      <c r="K70" s="167">
        <f t="shared" si="22"/>
        <v>2.2090407322994565E-3</v>
      </c>
      <c r="L70" s="168"/>
    </row>
    <row r="71" spans="1:12" x14ac:dyDescent="0.25">
      <c r="A71" s="164"/>
      <c r="B71" s="165" t="s">
        <v>119</v>
      </c>
      <c r="C71" s="166">
        <v>3211</v>
      </c>
      <c r="D71" s="166">
        <v>7122</v>
      </c>
      <c r="E71" s="166">
        <v>13150</v>
      </c>
      <c r="F71" s="166">
        <v>3264</v>
      </c>
      <c r="G71" s="166">
        <v>4141</v>
      </c>
      <c r="H71" s="166">
        <v>3930</v>
      </c>
      <c r="I71" s="167">
        <f t="shared" si="21"/>
        <v>-5.0953875875392463E-2</v>
      </c>
      <c r="J71" s="166">
        <f t="shared" si="20"/>
        <v>-211</v>
      </c>
      <c r="K71" s="167">
        <f t="shared" si="22"/>
        <v>1.3775833192537074E-3</v>
      </c>
      <c r="L71" s="81"/>
    </row>
    <row r="72" spans="1:12" x14ac:dyDescent="0.25">
      <c r="A72" s="164"/>
      <c r="B72" s="165" t="s">
        <v>126</v>
      </c>
      <c r="C72" s="166">
        <v>1850</v>
      </c>
      <c r="D72" s="166">
        <v>6479</v>
      </c>
      <c r="E72" s="166">
        <v>2289</v>
      </c>
      <c r="F72" s="166">
        <v>2188</v>
      </c>
      <c r="G72" s="166">
        <v>3001</v>
      </c>
      <c r="H72" s="166">
        <v>2826</v>
      </c>
      <c r="I72" s="167">
        <f t="shared" si="21"/>
        <v>-5.8313895368210633E-2</v>
      </c>
      <c r="J72" s="166">
        <f t="shared" si="20"/>
        <v>-175</v>
      </c>
      <c r="K72" s="167">
        <f t="shared" si="22"/>
        <v>9.9059808147862016E-4</v>
      </c>
      <c r="L72" s="81"/>
    </row>
    <row r="73" spans="1:12" x14ac:dyDescent="0.25">
      <c r="A73" s="164"/>
      <c r="B73" s="165" t="s">
        <v>122</v>
      </c>
      <c r="C73" s="166">
        <v>1687</v>
      </c>
      <c r="D73" s="166">
        <v>1782</v>
      </c>
      <c r="E73" s="166">
        <v>1644</v>
      </c>
      <c r="F73" s="166">
        <v>698</v>
      </c>
      <c r="G73" s="166">
        <v>1706</v>
      </c>
      <c r="H73" s="166">
        <v>2338</v>
      </c>
      <c r="I73" s="167">
        <f t="shared" si="21"/>
        <v>0.37045720984759667</v>
      </c>
      <c r="J73" s="166">
        <f t="shared" si="20"/>
        <v>632</v>
      </c>
      <c r="K73" s="167">
        <f t="shared" si="22"/>
        <v>8.1953938941861778E-4</v>
      </c>
      <c r="L73" s="81"/>
    </row>
    <row r="74" spans="1:12" x14ac:dyDescent="0.25">
      <c r="A74" s="164"/>
      <c r="B74" s="165" t="s">
        <v>131</v>
      </c>
      <c r="C74" s="166">
        <v>60</v>
      </c>
      <c r="D74" s="166">
        <v>4569</v>
      </c>
      <c r="E74" s="166">
        <v>5705</v>
      </c>
      <c r="F74" s="166">
        <v>1190</v>
      </c>
      <c r="G74" s="166">
        <v>2710</v>
      </c>
      <c r="H74" s="166">
        <v>1974</v>
      </c>
      <c r="I74" s="167">
        <f t="shared" si="21"/>
        <v>-0.27158671586715866</v>
      </c>
      <c r="J74" s="166">
        <f t="shared" si="20"/>
        <v>-736</v>
      </c>
      <c r="K74" s="167">
        <f t="shared" si="22"/>
        <v>6.919464305869767E-4</v>
      </c>
      <c r="L74" s="81"/>
    </row>
    <row r="75" spans="1:12" x14ac:dyDescent="0.25">
      <c r="A75" s="164" t="s">
        <v>147</v>
      </c>
      <c r="B75" s="165" t="s">
        <v>134</v>
      </c>
      <c r="C75" s="166">
        <v>132</v>
      </c>
      <c r="D75" s="166">
        <v>919</v>
      </c>
      <c r="E75" s="166">
        <v>1948</v>
      </c>
      <c r="F75" s="166">
        <v>291</v>
      </c>
      <c r="G75" s="166">
        <v>5685</v>
      </c>
      <c r="H75" s="166">
        <v>3867</v>
      </c>
      <c r="I75" s="167">
        <f t="shared" si="21"/>
        <v>-0.3197889182058048</v>
      </c>
      <c r="J75" s="166">
        <f t="shared" si="20"/>
        <v>-1818</v>
      </c>
      <c r="K75" s="167">
        <f t="shared" si="22"/>
        <v>1.3554999225328464E-3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6996</v>
      </c>
      <c r="D76" s="171">
        <f t="shared" ref="D76:H76" si="24">D68-SUM(D69:D75)</f>
        <v>19816</v>
      </c>
      <c r="E76" s="171">
        <f t="shared" si="24"/>
        <v>30300</v>
      </c>
      <c r="F76" s="171">
        <f t="shared" si="24"/>
        <v>14371</v>
      </c>
      <c r="G76" s="171">
        <f t="shared" si="24"/>
        <v>20089</v>
      </c>
      <c r="H76" s="171">
        <f t="shared" si="24"/>
        <v>20518</v>
      </c>
      <c r="I76" s="172">
        <f t="shared" si="21"/>
        <v>2.1354970381801008E-2</v>
      </c>
      <c r="J76" s="171">
        <f>H76-G76</f>
        <v>429</v>
      </c>
      <c r="K76" s="172">
        <f t="shared" si="22"/>
        <v>7.1921767288670654E-3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44846</v>
      </c>
      <c r="D78" s="178">
        <v>284082</v>
      </c>
      <c r="E78" s="178">
        <v>410037</v>
      </c>
      <c r="F78" s="178">
        <v>440835</v>
      </c>
      <c r="G78" s="178">
        <v>468874</v>
      </c>
      <c r="H78" s="178">
        <v>456509</v>
      </c>
      <c r="I78" s="179">
        <f>IFERROR(H78/G78-1,"-")</f>
        <v>-2.6371690475479603E-2</v>
      </c>
      <c r="J78" s="178">
        <f>H78-G78</f>
        <v>-12365</v>
      </c>
      <c r="K78" s="179">
        <f>H78/H$8</f>
        <v>0.16002014847053198</v>
      </c>
      <c r="L78" s="81"/>
    </row>
    <row r="79" spans="1:12" x14ac:dyDescent="0.25">
      <c r="A79" s="164" t="s">
        <v>99</v>
      </c>
      <c r="B79" s="161" t="s">
        <v>100</v>
      </c>
      <c r="C79" s="162">
        <v>14280</v>
      </c>
      <c r="D79" s="162">
        <v>61877</v>
      </c>
      <c r="E79" s="162">
        <v>109752</v>
      </c>
      <c r="F79" s="162">
        <v>84951</v>
      </c>
      <c r="G79" s="162">
        <v>89457</v>
      </c>
      <c r="H79" s="162">
        <v>98952</v>
      </c>
      <c r="I79" s="163">
        <f>IFERROR(H79/G79-1,"-")</f>
        <v>0.10614038029444317</v>
      </c>
      <c r="J79" s="162">
        <f t="shared" ref="J79:J89" si="25">H79-G79</f>
        <v>9495</v>
      </c>
      <c r="K79" s="163">
        <f>H79/H$8</f>
        <v>3.4685655116232277E-2</v>
      </c>
      <c r="L79" s="81"/>
    </row>
    <row r="80" spans="1:12" x14ac:dyDescent="0.25">
      <c r="A80" s="164" t="s">
        <v>106</v>
      </c>
      <c r="B80" s="165" t="s">
        <v>106</v>
      </c>
      <c r="C80" s="166">
        <v>7287</v>
      </c>
      <c r="D80" s="166">
        <v>15618</v>
      </c>
      <c r="E80" s="166">
        <v>14999</v>
      </c>
      <c r="F80" s="166">
        <v>13117</v>
      </c>
      <c r="G80" s="166">
        <v>15554</v>
      </c>
      <c r="H80" s="166">
        <v>13875</v>
      </c>
      <c r="I80" s="167">
        <f>IFERROR(H80/G80-1,"-")</f>
        <v>-0.10794650893660795</v>
      </c>
      <c r="J80" s="166">
        <f t="shared" si="25"/>
        <v>-1679</v>
      </c>
      <c r="K80" s="167">
        <f>H80/H$8</f>
        <v>4.8636052301896156E-3</v>
      </c>
      <c r="L80" s="81"/>
    </row>
    <row r="81" spans="1:12" x14ac:dyDescent="0.25">
      <c r="A81" s="164" t="s">
        <v>103</v>
      </c>
      <c r="B81" s="165" t="s">
        <v>103</v>
      </c>
      <c r="C81" s="166">
        <v>6993</v>
      </c>
      <c r="D81" s="166">
        <v>46259</v>
      </c>
      <c r="E81" s="166">
        <v>94753</v>
      </c>
      <c r="F81" s="166">
        <v>71834</v>
      </c>
      <c r="G81" s="166">
        <v>73903</v>
      </c>
      <c r="H81" s="166">
        <v>85077</v>
      </c>
      <c r="I81" s="167">
        <f>IFERROR(H81/G81-1,"-")</f>
        <v>0.15119819222494346</v>
      </c>
      <c r="J81" s="166">
        <f t="shared" si="25"/>
        <v>11174</v>
      </c>
      <c r="K81" s="167">
        <f>H81/H$8</f>
        <v>2.9822049886042663E-2</v>
      </c>
      <c r="L81" s="81"/>
    </row>
    <row r="82" spans="1:12" x14ac:dyDescent="0.25">
      <c r="A82" s="164"/>
      <c r="B82" s="161" t="s">
        <v>110</v>
      </c>
      <c r="C82" s="162">
        <v>30566</v>
      </c>
      <c r="D82" s="162">
        <v>222205</v>
      </c>
      <c r="E82" s="162">
        <v>300285</v>
      </c>
      <c r="F82" s="162">
        <v>355884</v>
      </c>
      <c r="G82" s="162">
        <v>379417</v>
      </c>
      <c r="H82" s="162">
        <v>357557</v>
      </c>
      <c r="I82" s="163">
        <f>IFERROR(H82/G82-1,"-")</f>
        <v>-5.7614708882311572E-2</v>
      </c>
      <c r="J82" s="162">
        <f t="shared" si="25"/>
        <v>-21860</v>
      </c>
      <c r="K82" s="163">
        <f>H82/H$8</f>
        <v>0.12533449335429972</v>
      </c>
      <c r="L82" s="81"/>
    </row>
    <row r="83" spans="1:12" s="58" customFormat="1" x14ac:dyDescent="0.25">
      <c r="A83" s="164"/>
      <c r="B83" s="165" t="s">
        <v>113</v>
      </c>
      <c r="C83" s="166">
        <v>6245</v>
      </c>
      <c r="D83" s="166">
        <v>20997</v>
      </c>
      <c r="E83" s="166">
        <v>47781</v>
      </c>
      <c r="F83" s="166">
        <v>62747</v>
      </c>
      <c r="G83" s="166">
        <v>67375</v>
      </c>
      <c r="H83" s="166">
        <v>61503</v>
      </c>
      <c r="I83" s="167">
        <f t="shared" ref="I83:I90" si="26">IFERROR(H83/G83-1,"-")</f>
        <v>-8.7153988868274634E-2</v>
      </c>
      <c r="J83" s="166">
        <f t="shared" si="25"/>
        <v>-5872</v>
      </c>
      <c r="K83" s="167">
        <f t="shared" ref="K83:K90" si="27">H83/H$8</f>
        <v>2.1558653151160501E-2</v>
      </c>
      <c r="L83" s="168"/>
    </row>
    <row r="84" spans="1:12" s="58" customFormat="1" x14ac:dyDescent="0.25">
      <c r="A84" s="164"/>
      <c r="B84" s="165" t="s">
        <v>116</v>
      </c>
      <c r="C84" s="166">
        <v>12813</v>
      </c>
      <c r="D84" s="166">
        <v>100325</v>
      </c>
      <c r="E84" s="166">
        <v>120073</v>
      </c>
      <c r="F84" s="166">
        <v>136634</v>
      </c>
      <c r="G84" s="166">
        <v>141819</v>
      </c>
      <c r="H84" s="166">
        <v>131688</v>
      </c>
      <c r="I84" s="167">
        <f t="shared" si="26"/>
        <v>-7.1436126330040373E-2</v>
      </c>
      <c r="J84" s="166">
        <f t="shared" si="25"/>
        <v>-10131</v>
      </c>
      <c r="K84" s="167">
        <f t="shared" si="27"/>
        <v>4.616060868851965E-2</v>
      </c>
      <c r="L84" s="168"/>
    </row>
    <row r="85" spans="1:12" x14ac:dyDescent="0.25">
      <c r="A85" s="164"/>
      <c r="B85" s="165" t="s">
        <v>119</v>
      </c>
      <c r="C85" s="166">
        <v>2033</v>
      </c>
      <c r="D85" s="166">
        <v>11502</v>
      </c>
      <c r="E85" s="166">
        <v>14877</v>
      </c>
      <c r="F85" s="166">
        <v>23544</v>
      </c>
      <c r="G85" s="166">
        <v>25480</v>
      </c>
      <c r="H85" s="166">
        <v>24411</v>
      </c>
      <c r="I85" s="167">
        <f t="shared" si="26"/>
        <v>-4.1954474097331218E-2</v>
      </c>
      <c r="J85" s="166">
        <f t="shared" si="25"/>
        <v>-1069</v>
      </c>
      <c r="K85" s="167">
        <f t="shared" si="27"/>
        <v>8.5567904341736015E-3</v>
      </c>
      <c r="L85" s="81"/>
    </row>
    <row r="86" spans="1:12" x14ac:dyDescent="0.25">
      <c r="A86" s="164"/>
      <c r="B86" s="165" t="s">
        <v>126</v>
      </c>
      <c r="C86" s="166">
        <v>553</v>
      </c>
      <c r="D86" s="166">
        <v>7042</v>
      </c>
      <c r="E86" s="166">
        <v>6873</v>
      </c>
      <c r="F86" s="166">
        <v>7535</v>
      </c>
      <c r="G86" s="166">
        <v>12303</v>
      </c>
      <c r="H86" s="166">
        <v>8571</v>
      </c>
      <c r="I86" s="167">
        <f t="shared" si="26"/>
        <v>-0.30334064862228727</v>
      </c>
      <c r="J86" s="166">
        <f t="shared" si="25"/>
        <v>-3732</v>
      </c>
      <c r="K86" s="167">
        <f t="shared" si="27"/>
        <v>3.0043935443571312E-3</v>
      </c>
      <c r="L86" s="81"/>
    </row>
    <row r="87" spans="1:12" x14ac:dyDescent="0.25">
      <c r="A87" s="164"/>
      <c r="B87" s="165" t="s">
        <v>122</v>
      </c>
      <c r="C87" s="166">
        <v>337</v>
      </c>
      <c r="D87" s="166">
        <v>3911</v>
      </c>
      <c r="E87" s="166">
        <v>3870</v>
      </c>
      <c r="F87" s="166">
        <v>3615</v>
      </c>
      <c r="G87" s="166">
        <v>4832</v>
      </c>
      <c r="H87" s="166">
        <v>6070</v>
      </c>
      <c r="I87" s="167">
        <f t="shared" si="26"/>
        <v>0.25620860927152322</v>
      </c>
      <c r="J87" s="166">
        <f t="shared" si="25"/>
        <v>1238</v>
      </c>
      <c r="K87" s="167">
        <f t="shared" si="27"/>
        <v>2.1277177475496193E-3</v>
      </c>
      <c r="L87" s="81"/>
    </row>
    <row r="88" spans="1:12" x14ac:dyDescent="0.25">
      <c r="A88" s="164"/>
      <c r="B88" s="165" t="s">
        <v>131</v>
      </c>
      <c r="C88" s="166">
        <v>120</v>
      </c>
      <c r="D88" s="166">
        <v>6253</v>
      </c>
      <c r="E88" s="166">
        <v>10183</v>
      </c>
      <c r="F88" s="166">
        <v>9612</v>
      </c>
      <c r="G88" s="166">
        <v>6874</v>
      </c>
      <c r="H88" s="166">
        <v>6958</v>
      </c>
      <c r="I88" s="167">
        <f t="shared" si="26"/>
        <v>1.2219959266802416E-2</v>
      </c>
      <c r="J88" s="166">
        <f t="shared" si="25"/>
        <v>84</v>
      </c>
      <c r="K88" s="167">
        <f t="shared" si="27"/>
        <v>2.4389884822817549E-3</v>
      </c>
      <c r="L88" s="81"/>
    </row>
    <row r="89" spans="1:12" x14ac:dyDescent="0.25">
      <c r="A89" s="164" t="s">
        <v>147</v>
      </c>
      <c r="B89" s="165" t="s">
        <v>134</v>
      </c>
      <c r="C89" s="166">
        <v>490</v>
      </c>
      <c r="D89" s="166">
        <v>8622</v>
      </c>
      <c r="E89" s="166">
        <v>13657</v>
      </c>
      <c r="F89" s="166">
        <v>14110</v>
      </c>
      <c r="G89" s="166">
        <v>12135</v>
      </c>
      <c r="H89" s="166">
        <v>11722</v>
      </c>
      <c r="I89" s="167">
        <f t="shared" si="26"/>
        <v>-3.4033786567779112E-2</v>
      </c>
      <c r="J89" s="166">
        <f t="shared" si="25"/>
        <v>-413</v>
      </c>
      <c r="K89" s="167">
        <f t="shared" si="27"/>
        <v>4.1089139105068596E-3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7975</v>
      </c>
      <c r="D90" s="171">
        <f t="shared" ref="D90:H90" si="29">D82-SUM(D83:D89)</f>
        <v>63553</v>
      </c>
      <c r="E90" s="171">
        <f t="shared" si="29"/>
        <v>82971</v>
      </c>
      <c r="F90" s="171">
        <f t="shared" si="29"/>
        <v>98087</v>
      </c>
      <c r="G90" s="171">
        <f t="shared" si="29"/>
        <v>108599</v>
      </c>
      <c r="H90" s="171">
        <f t="shared" si="29"/>
        <v>106634</v>
      </c>
      <c r="I90" s="172">
        <f t="shared" si="26"/>
        <v>-1.8094089264173663E-2</v>
      </c>
      <c r="J90" s="171">
        <f>H90-G90</f>
        <v>-1965</v>
      </c>
      <c r="K90" s="172">
        <f t="shared" si="27"/>
        <v>3.7378427395750591E-2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4049</v>
      </c>
      <c r="D92" s="178">
        <v>11200</v>
      </c>
      <c r="E92" s="178">
        <v>12114</v>
      </c>
      <c r="F92" s="178">
        <v>11864</v>
      </c>
      <c r="G92" s="178">
        <v>13319</v>
      </c>
      <c r="H92" s="178">
        <v>13103</v>
      </c>
      <c r="I92" s="179">
        <f>IFERROR(H92/G92-1,"-")</f>
        <v>-1.6217433741271825E-2</v>
      </c>
      <c r="J92" s="178">
        <f>H92-G92</f>
        <v>-216</v>
      </c>
      <c r="K92" s="179">
        <f>H92/H$8</f>
        <v>4.5929959878323991E-3</v>
      </c>
      <c r="L92" s="81"/>
    </row>
    <row r="93" spans="1:12" x14ac:dyDescent="0.25">
      <c r="A93" s="164" t="s">
        <v>99</v>
      </c>
      <c r="B93" s="161" t="s">
        <v>100</v>
      </c>
      <c r="C93" s="162">
        <v>2474</v>
      </c>
      <c r="D93" s="162">
        <v>5677</v>
      </c>
      <c r="E93" s="162">
        <v>6120</v>
      </c>
      <c r="F93" s="162">
        <v>4800</v>
      </c>
      <c r="G93" s="162">
        <v>6283</v>
      </c>
      <c r="H93" s="162">
        <v>6261</v>
      </c>
      <c r="I93" s="163">
        <f>IFERROR(H93/G93-1,"-")</f>
        <v>-3.501512016552577E-3</v>
      </c>
      <c r="J93" s="162">
        <f t="shared" ref="J93:J103" si="30">H93-G93</f>
        <v>-22</v>
      </c>
      <c r="K93" s="163">
        <f>H93/H$8</f>
        <v>2.1946689979255628E-3</v>
      </c>
      <c r="L93" s="81"/>
    </row>
    <row r="94" spans="1:12" x14ac:dyDescent="0.25">
      <c r="A94" s="164" t="s">
        <v>106</v>
      </c>
      <c r="B94" s="165" t="s">
        <v>106</v>
      </c>
      <c r="C94" s="166">
        <v>1793</v>
      </c>
      <c r="D94" s="166">
        <v>2488</v>
      </c>
      <c r="E94" s="166">
        <v>2999</v>
      </c>
      <c r="F94" s="166">
        <v>1914</v>
      </c>
      <c r="G94" s="166">
        <v>2574</v>
      </c>
      <c r="H94" s="166">
        <v>3015</v>
      </c>
      <c r="I94" s="167">
        <f>IFERROR(H94/G94-1,"-")</f>
        <v>0.17132867132867124</v>
      </c>
      <c r="J94" s="166">
        <f t="shared" si="30"/>
        <v>441</v>
      </c>
      <c r="K94" s="167">
        <f>H94/H$8</f>
        <v>1.056848271641203E-3</v>
      </c>
      <c r="L94" s="81"/>
    </row>
    <row r="95" spans="1:12" x14ac:dyDescent="0.25">
      <c r="A95" s="164" t="s">
        <v>103</v>
      </c>
      <c r="B95" s="165" t="s">
        <v>103</v>
      </c>
      <c r="C95" s="166">
        <v>681</v>
      </c>
      <c r="D95" s="166">
        <v>3189</v>
      </c>
      <c r="E95" s="166">
        <v>3121</v>
      </c>
      <c r="F95" s="166">
        <v>2886</v>
      </c>
      <c r="G95" s="166">
        <v>3709</v>
      </c>
      <c r="H95" s="166">
        <v>3246</v>
      </c>
      <c r="I95" s="167">
        <f>IFERROR(H95/G95-1,"-")</f>
        <v>-0.1248314909679159</v>
      </c>
      <c r="J95" s="166">
        <f t="shared" si="30"/>
        <v>-463</v>
      </c>
      <c r="K95" s="167">
        <f>H95/H$8</f>
        <v>1.1378207262843598E-3</v>
      </c>
      <c r="L95" s="81"/>
    </row>
    <row r="96" spans="1:12" x14ac:dyDescent="0.25">
      <c r="A96" s="164"/>
      <c r="B96" s="161" t="s">
        <v>110</v>
      </c>
      <c r="C96" s="162">
        <v>1575</v>
      </c>
      <c r="D96" s="162">
        <v>5523</v>
      </c>
      <c r="E96" s="162">
        <v>5994</v>
      </c>
      <c r="F96" s="162">
        <v>7064</v>
      </c>
      <c r="G96" s="162">
        <v>7036</v>
      </c>
      <c r="H96" s="162">
        <v>6842</v>
      </c>
      <c r="I96" s="163">
        <f>IFERROR(H96/G96-1,"-")</f>
        <v>-2.7572484366117145E-2</v>
      </c>
      <c r="J96" s="162">
        <f t="shared" si="30"/>
        <v>-194</v>
      </c>
      <c r="K96" s="163">
        <f>H96/H$8</f>
        <v>2.3983269899068363E-3</v>
      </c>
      <c r="L96" s="81"/>
    </row>
    <row r="97" spans="1:12" s="58" customFormat="1" x14ac:dyDescent="0.25">
      <c r="A97" s="164"/>
      <c r="B97" s="165" t="s">
        <v>113</v>
      </c>
      <c r="C97" s="166">
        <v>136</v>
      </c>
      <c r="D97" s="166">
        <v>680</v>
      </c>
      <c r="E97" s="166">
        <v>948</v>
      </c>
      <c r="F97" s="166">
        <v>1233</v>
      </c>
      <c r="G97" s="166">
        <v>859</v>
      </c>
      <c r="H97" s="166">
        <v>836</v>
      </c>
      <c r="I97" s="167">
        <f t="shared" ref="I97:I104" si="31">IFERROR(H97/G97-1,"-")</f>
        <v>-2.6775320139697301E-2</v>
      </c>
      <c r="J97" s="166">
        <f t="shared" si="30"/>
        <v>-23</v>
      </c>
      <c r="K97" s="167">
        <f t="shared" ref="K97:K104" si="32">H97/H$8</f>
        <v>2.930431691847581E-4</v>
      </c>
      <c r="L97" s="168"/>
    </row>
    <row r="98" spans="1:12" s="58" customFormat="1" x14ac:dyDescent="0.25">
      <c r="A98" s="164"/>
      <c r="B98" s="165" t="s">
        <v>116</v>
      </c>
      <c r="C98" s="166">
        <v>199</v>
      </c>
      <c r="D98" s="166">
        <v>1924</v>
      </c>
      <c r="E98" s="166">
        <v>1833</v>
      </c>
      <c r="F98" s="166">
        <v>2036</v>
      </c>
      <c r="G98" s="166">
        <v>2476</v>
      </c>
      <c r="H98" s="166">
        <v>2474</v>
      </c>
      <c r="I98" s="167">
        <f t="shared" si="31"/>
        <v>-8.077544426494665E-4</v>
      </c>
      <c r="J98" s="166">
        <f t="shared" si="30"/>
        <v>-2</v>
      </c>
      <c r="K98" s="167">
        <f t="shared" si="32"/>
        <v>8.6721148392714304E-4</v>
      </c>
      <c r="L98" s="168"/>
    </row>
    <row r="99" spans="1:12" x14ac:dyDescent="0.25">
      <c r="A99" s="164"/>
      <c r="B99" s="165" t="s">
        <v>119</v>
      </c>
      <c r="C99" s="166">
        <v>445</v>
      </c>
      <c r="D99" s="166">
        <v>799</v>
      </c>
      <c r="E99" s="166">
        <v>717</v>
      </c>
      <c r="F99" s="166">
        <v>679</v>
      </c>
      <c r="G99" s="166">
        <v>714</v>
      </c>
      <c r="H99" s="166">
        <v>914</v>
      </c>
      <c r="I99" s="167">
        <f t="shared" si="31"/>
        <v>0.28011204481792706</v>
      </c>
      <c r="J99" s="166">
        <f t="shared" si="30"/>
        <v>200</v>
      </c>
      <c r="K99" s="167">
        <f t="shared" si="32"/>
        <v>3.2038451750582406E-4</v>
      </c>
      <c r="L99" s="81"/>
    </row>
    <row r="100" spans="1:12" x14ac:dyDescent="0.25">
      <c r="A100" s="164"/>
      <c r="B100" s="165" t="s">
        <v>126</v>
      </c>
      <c r="C100" s="166">
        <v>14</v>
      </c>
      <c r="D100" s="166">
        <v>348</v>
      </c>
      <c r="E100" s="166">
        <v>374</v>
      </c>
      <c r="F100" s="166">
        <v>365</v>
      </c>
      <c r="G100" s="166">
        <v>215</v>
      </c>
      <c r="H100" s="166">
        <v>239</v>
      </c>
      <c r="I100" s="167">
        <f t="shared" si="31"/>
        <v>0.1116279069767443</v>
      </c>
      <c r="J100" s="166">
        <f t="shared" si="30"/>
        <v>24</v>
      </c>
      <c r="K100" s="167">
        <f t="shared" si="32"/>
        <v>8.3776695496599513E-5</v>
      </c>
      <c r="L100" s="81"/>
    </row>
    <row r="101" spans="1:12" x14ac:dyDescent="0.25">
      <c r="A101" s="164"/>
      <c r="B101" s="165" t="s">
        <v>122</v>
      </c>
      <c r="C101" s="166">
        <v>36</v>
      </c>
      <c r="D101" s="166">
        <v>167</v>
      </c>
      <c r="E101" s="166">
        <v>112</v>
      </c>
      <c r="F101" s="166">
        <v>162</v>
      </c>
      <c r="G101" s="166">
        <v>348</v>
      </c>
      <c r="H101" s="166">
        <v>293</v>
      </c>
      <c r="I101" s="167">
        <f t="shared" si="31"/>
        <v>-0.15804597701149425</v>
      </c>
      <c r="J101" s="166">
        <f t="shared" si="30"/>
        <v>-55</v>
      </c>
      <c r="K101" s="167">
        <f t="shared" si="32"/>
        <v>1.0270532125733748E-4</v>
      </c>
      <c r="L101" s="81"/>
    </row>
    <row r="102" spans="1:12" x14ac:dyDescent="0.25">
      <c r="A102" s="164"/>
      <c r="B102" s="165" t="s">
        <v>131</v>
      </c>
      <c r="C102" s="166">
        <v>2</v>
      </c>
      <c r="D102" s="166">
        <v>77</v>
      </c>
      <c r="E102" s="166">
        <v>101</v>
      </c>
      <c r="F102" s="166">
        <v>34</v>
      </c>
      <c r="G102" s="166">
        <v>10</v>
      </c>
      <c r="H102" s="166">
        <v>26</v>
      </c>
      <c r="I102" s="167">
        <f t="shared" si="31"/>
        <v>1.6</v>
      </c>
      <c r="J102" s="166">
        <f t="shared" si="30"/>
        <v>16</v>
      </c>
      <c r="K102" s="167">
        <f t="shared" si="32"/>
        <v>9.1137827736886488E-6</v>
      </c>
      <c r="L102" s="81"/>
    </row>
    <row r="103" spans="1:12" x14ac:dyDescent="0.25">
      <c r="A103" s="164" t="s">
        <v>147</v>
      </c>
      <c r="B103" s="165" t="s">
        <v>134</v>
      </c>
      <c r="C103" s="166">
        <v>10</v>
      </c>
      <c r="D103" s="166">
        <v>42</v>
      </c>
      <c r="E103" s="166">
        <v>94</v>
      </c>
      <c r="F103" s="166">
        <v>147</v>
      </c>
      <c r="G103" s="166">
        <v>160</v>
      </c>
      <c r="H103" s="166">
        <v>18</v>
      </c>
      <c r="I103" s="167">
        <f t="shared" si="31"/>
        <v>-0.88749999999999996</v>
      </c>
      <c r="J103" s="166">
        <f t="shared" si="30"/>
        <v>-142</v>
      </c>
      <c r="K103" s="167">
        <f t="shared" si="32"/>
        <v>6.3095419202459876E-6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733</v>
      </c>
      <c r="D104" s="171">
        <f t="shared" ref="D104:H104" si="34">D96-SUM(D97:D103)</f>
        <v>1486</v>
      </c>
      <c r="E104" s="171">
        <f t="shared" si="34"/>
        <v>1815</v>
      </c>
      <c r="F104" s="171">
        <f t="shared" si="34"/>
        <v>2408</v>
      </c>
      <c r="G104" s="171">
        <f t="shared" si="34"/>
        <v>2254</v>
      </c>
      <c r="H104" s="171">
        <f t="shared" si="34"/>
        <v>2042</v>
      </c>
      <c r="I104" s="172">
        <f t="shared" si="31"/>
        <v>-9.4055013309671698E-2</v>
      </c>
      <c r="J104" s="171">
        <f>H104-G104</f>
        <v>-212</v>
      </c>
      <c r="K104" s="172">
        <f t="shared" si="32"/>
        <v>7.1578247784123933E-4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41809</v>
      </c>
      <c r="D106" s="178">
        <v>96818</v>
      </c>
      <c r="E106" s="178">
        <v>108987</v>
      </c>
      <c r="F106" s="178">
        <v>119696</v>
      </c>
      <c r="G106" s="178">
        <v>97837</v>
      </c>
      <c r="H106" s="178">
        <v>108317</v>
      </c>
      <c r="I106" s="179">
        <f>IFERROR(H106/G106-1,"-")</f>
        <v>0.10711693939920486</v>
      </c>
      <c r="J106" s="178">
        <f>H106-G106</f>
        <v>10480</v>
      </c>
      <c r="K106" s="179">
        <f>H106/H$8</f>
        <v>3.7968369565293592E-2</v>
      </c>
      <c r="L106" s="81"/>
    </row>
    <row r="107" spans="1:12" x14ac:dyDescent="0.25">
      <c r="A107" s="164" t="s">
        <v>99</v>
      </c>
      <c r="B107" s="161" t="s">
        <v>100</v>
      </c>
      <c r="C107" s="162">
        <v>7870</v>
      </c>
      <c r="D107" s="162">
        <v>16269</v>
      </c>
      <c r="E107" s="162">
        <v>21520</v>
      </c>
      <c r="F107" s="162">
        <v>15397</v>
      </c>
      <c r="G107" s="162">
        <v>13481</v>
      </c>
      <c r="H107" s="162">
        <v>12024</v>
      </c>
      <c r="I107" s="163">
        <f>IFERROR(H107/G107-1,"-")</f>
        <v>-0.10807803575402419</v>
      </c>
      <c r="J107" s="162">
        <f t="shared" ref="J107:J117" si="35">H107-G107</f>
        <v>-1457</v>
      </c>
      <c r="K107" s="163">
        <f>H107/H$8</f>
        <v>4.21477400272432E-3</v>
      </c>
      <c r="L107" s="81"/>
    </row>
    <row r="108" spans="1:12" x14ac:dyDescent="0.25">
      <c r="A108" s="164" t="s">
        <v>106</v>
      </c>
      <c r="B108" s="165" t="s">
        <v>106</v>
      </c>
      <c r="C108" s="166">
        <v>5267</v>
      </c>
      <c r="D108" s="166">
        <v>6615</v>
      </c>
      <c r="E108" s="166">
        <v>5365</v>
      </c>
      <c r="F108" s="166">
        <v>2175</v>
      </c>
      <c r="G108" s="166">
        <v>3501</v>
      </c>
      <c r="H108" s="166">
        <v>4696</v>
      </c>
      <c r="I108" s="167">
        <f>IFERROR(H108/G108-1,"-")</f>
        <v>0.34133104827192229</v>
      </c>
      <c r="J108" s="166">
        <f t="shared" si="35"/>
        <v>1195</v>
      </c>
      <c r="K108" s="167">
        <f>H108/H$8</f>
        <v>1.6460893809708422E-3</v>
      </c>
      <c r="L108" s="81"/>
    </row>
    <row r="109" spans="1:12" x14ac:dyDescent="0.25">
      <c r="A109" s="164" t="s">
        <v>103</v>
      </c>
      <c r="B109" s="165" t="s">
        <v>103</v>
      </c>
      <c r="C109" s="166">
        <v>2603</v>
      </c>
      <c r="D109" s="166">
        <v>9654</v>
      </c>
      <c r="E109" s="166">
        <v>16155</v>
      </c>
      <c r="F109" s="166">
        <v>13222</v>
      </c>
      <c r="G109" s="166">
        <v>9980</v>
      </c>
      <c r="H109" s="166">
        <v>7328</v>
      </c>
      <c r="I109" s="167">
        <f>IFERROR(H109/G109-1,"-")</f>
        <v>-0.2657314629258517</v>
      </c>
      <c r="J109" s="166">
        <f t="shared" si="35"/>
        <v>-2652</v>
      </c>
      <c r="K109" s="167">
        <f>H109/H$8</f>
        <v>2.5686846217534776E-3</v>
      </c>
      <c r="L109" s="81"/>
    </row>
    <row r="110" spans="1:12" x14ac:dyDescent="0.25">
      <c r="A110" s="164"/>
      <c r="B110" s="161" t="s">
        <v>110</v>
      </c>
      <c r="C110" s="162">
        <v>33939</v>
      </c>
      <c r="D110" s="162">
        <v>80549</v>
      </c>
      <c r="E110" s="162">
        <v>87467</v>
      </c>
      <c r="F110" s="162">
        <v>104299</v>
      </c>
      <c r="G110" s="162">
        <v>84356</v>
      </c>
      <c r="H110" s="162">
        <v>96293</v>
      </c>
      <c r="I110" s="163">
        <f>IFERROR(H110/G110-1,"-")</f>
        <v>0.14150742093034285</v>
      </c>
      <c r="J110" s="162">
        <f t="shared" si="35"/>
        <v>11937</v>
      </c>
      <c r="K110" s="163">
        <f>H110/H$8</f>
        <v>3.3753595562569273E-2</v>
      </c>
      <c r="L110" s="81"/>
    </row>
    <row r="111" spans="1:12" s="58" customFormat="1" x14ac:dyDescent="0.25">
      <c r="A111" s="164"/>
      <c r="B111" s="165" t="s">
        <v>113</v>
      </c>
      <c r="C111" s="166">
        <v>28677</v>
      </c>
      <c r="D111" s="166">
        <v>48685</v>
      </c>
      <c r="E111" s="166">
        <v>53949</v>
      </c>
      <c r="F111" s="166">
        <v>62797</v>
      </c>
      <c r="G111" s="166">
        <v>44607</v>
      </c>
      <c r="H111" s="166">
        <v>42625</v>
      </c>
      <c r="I111" s="167">
        <f t="shared" ref="I111:I118" si="36">IFERROR(H111/G111-1,"-")</f>
        <v>-4.4432488174501739E-2</v>
      </c>
      <c r="J111" s="166">
        <f t="shared" si="35"/>
        <v>-1982</v>
      </c>
      <c r="K111" s="167">
        <f t="shared" ref="K111:K118" si="37">H111/H$8</f>
        <v>1.494134579724918E-2</v>
      </c>
      <c r="L111" s="168"/>
    </row>
    <row r="112" spans="1:12" s="58" customFormat="1" x14ac:dyDescent="0.25">
      <c r="A112" s="164"/>
      <c r="B112" s="165" t="s">
        <v>116</v>
      </c>
      <c r="C112" s="166">
        <v>1685</v>
      </c>
      <c r="D112" s="166">
        <v>5141</v>
      </c>
      <c r="E112" s="166">
        <v>4905</v>
      </c>
      <c r="F112" s="166">
        <v>6500</v>
      </c>
      <c r="G112" s="166">
        <v>6382</v>
      </c>
      <c r="H112" s="166">
        <v>5797</v>
      </c>
      <c r="I112" s="167">
        <f t="shared" si="36"/>
        <v>-9.1664055155123769E-2</v>
      </c>
      <c r="J112" s="166">
        <f t="shared" si="35"/>
        <v>-585</v>
      </c>
      <c r="K112" s="167">
        <f t="shared" si="37"/>
        <v>2.0320230284258884E-3</v>
      </c>
      <c r="L112" s="168"/>
    </row>
    <row r="113" spans="1:12" x14ac:dyDescent="0.25">
      <c r="A113" s="164"/>
      <c r="B113" s="165" t="s">
        <v>119</v>
      </c>
      <c r="C113" s="166">
        <v>803</v>
      </c>
      <c r="D113" s="166">
        <v>4121</v>
      </c>
      <c r="E113" s="166">
        <v>4838</v>
      </c>
      <c r="F113" s="166">
        <v>4128</v>
      </c>
      <c r="G113" s="166">
        <v>6510</v>
      </c>
      <c r="H113" s="166">
        <v>8720</v>
      </c>
      <c r="I113" s="167">
        <f t="shared" si="36"/>
        <v>0.33947772657450082</v>
      </c>
      <c r="J113" s="166">
        <f t="shared" si="35"/>
        <v>2210</v>
      </c>
      <c r="K113" s="167">
        <f t="shared" si="37"/>
        <v>3.0566225302525009E-3</v>
      </c>
      <c r="L113" s="81"/>
    </row>
    <row r="114" spans="1:12" x14ac:dyDescent="0.25">
      <c r="A114" s="164"/>
      <c r="B114" s="165" t="s">
        <v>126</v>
      </c>
      <c r="C114" s="166">
        <v>466</v>
      </c>
      <c r="D114" s="166">
        <v>3062</v>
      </c>
      <c r="E114" s="166">
        <v>2693</v>
      </c>
      <c r="F114" s="166">
        <v>3659</v>
      </c>
      <c r="G114" s="166">
        <v>3130</v>
      </c>
      <c r="H114" s="166">
        <v>2597</v>
      </c>
      <c r="I114" s="167">
        <f t="shared" si="36"/>
        <v>-0.17028753993610224</v>
      </c>
      <c r="J114" s="166">
        <f t="shared" si="35"/>
        <v>-533</v>
      </c>
      <c r="K114" s="167">
        <f t="shared" si="37"/>
        <v>9.103266870488239E-4</v>
      </c>
      <c r="L114" s="81"/>
    </row>
    <row r="115" spans="1:12" x14ac:dyDescent="0.25">
      <c r="A115" s="164"/>
      <c r="B115" s="165" t="s">
        <v>122</v>
      </c>
      <c r="C115" s="166">
        <v>447</v>
      </c>
      <c r="D115" s="166">
        <v>3489</v>
      </c>
      <c r="E115" s="166">
        <v>2033</v>
      </c>
      <c r="F115" s="166">
        <v>3386</v>
      </c>
      <c r="G115" s="166">
        <v>2445</v>
      </c>
      <c r="H115" s="166">
        <v>2427</v>
      </c>
      <c r="I115" s="167">
        <f t="shared" si="36"/>
        <v>-7.3619631901840066E-3</v>
      </c>
      <c r="J115" s="166">
        <f t="shared" si="35"/>
        <v>-18</v>
      </c>
      <c r="K115" s="167">
        <f t="shared" si="37"/>
        <v>8.5073656891316738E-4</v>
      </c>
      <c r="L115" s="81"/>
    </row>
    <row r="116" spans="1:12" x14ac:dyDescent="0.25">
      <c r="A116" s="164"/>
      <c r="B116" s="165" t="s">
        <v>131</v>
      </c>
      <c r="C116" s="166">
        <v>14</v>
      </c>
      <c r="D116" s="166">
        <v>729</v>
      </c>
      <c r="E116" s="166">
        <v>835</v>
      </c>
      <c r="F116" s="166">
        <v>2134</v>
      </c>
      <c r="G116" s="166">
        <v>883</v>
      </c>
      <c r="H116" s="166">
        <v>1054</v>
      </c>
      <c r="I116" s="167">
        <f t="shared" si="36"/>
        <v>0.19365798414496038</v>
      </c>
      <c r="J116" s="166">
        <f t="shared" si="35"/>
        <v>171</v>
      </c>
      <c r="K116" s="167">
        <f t="shared" si="37"/>
        <v>3.6945873244107066E-4</v>
      </c>
      <c r="L116" s="81"/>
    </row>
    <row r="117" spans="1:12" x14ac:dyDescent="0.25">
      <c r="A117" s="164" t="s">
        <v>147</v>
      </c>
      <c r="B117" s="165" t="s">
        <v>134</v>
      </c>
      <c r="C117" s="166">
        <v>32</v>
      </c>
      <c r="D117" s="166">
        <v>1211</v>
      </c>
      <c r="E117" s="166">
        <v>908</v>
      </c>
      <c r="F117" s="166">
        <v>1500</v>
      </c>
      <c r="G117" s="166">
        <v>1223</v>
      </c>
      <c r="H117" s="166">
        <v>960</v>
      </c>
      <c r="I117" s="167">
        <f t="shared" si="36"/>
        <v>-0.21504497138184786</v>
      </c>
      <c r="J117" s="166">
        <f t="shared" si="35"/>
        <v>-263</v>
      </c>
      <c r="K117" s="167">
        <f t="shared" si="37"/>
        <v>3.3650890241311934E-4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1815</v>
      </c>
      <c r="D118" s="171">
        <f t="shared" ref="D118:H118" si="39">D110-SUM(D111:D117)</f>
        <v>14111</v>
      </c>
      <c r="E118" s="171">
        <f t="shared" si="39"/>
        <v>17306</v>
      </c>
      <c r="F118" s="171">
        <f t="shared" si="39"/>
        <v>20195</v>
      </c>
      <c r="G118" s="171">
        <f t="shared" si="39"/>
        <v>19176</v>
      </c>
      <c r="H118" s="171">
        <f t="shared" si="39"/>
        <v>32113</v>
      </c>
      <c r="I118" s="172">
        <f t="shared" si="36"/>
        <v>0.67464539007092195</v>
      </c>
      <c r="J118" s="171">
        <f>H118-G118</f>
        <v>12937</v>
      </c>
      <c r="K118" s="172">
        <f t="shared" si="37"/>
        <v>1.1256573315825523E-2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13546</v>
      </c>
      <c r="D120" s="178">
        <v>46745</v>
      </c>
      <c r="E120" s="178">
        <v>54058</v>
      </c>
      <c r="F120" s="178">
        <v>53126</v>
      </c>
      <c r="G120" s="178">
        <v>55215</v>
      </c>
      <c r="H120" s="178">
        <v>54945</v>
      </c>
      <c r="I120" s="179">
        <f>IFERROR(H120/G120-1,"-")</f>
        <v>-4.8899755501222719E-3</v>
      </c>
      <c r="J120" s="178">
        <f>H120-G120</f>
        <v>-270</v>
      </c>
      <c r="K120" s="179">
        <f>H120/H$8</f>
        <v>1.9259876711550879E-2</v>
      </c>
      <c r="L120" s="81"/>
    </row>
    <row r="121" spans="1:12" x14ac:dyDescent="0.25">
      <c r="A121" s="164" t="s">
        <v>99</v>
      </c>
      <c r="B121" s="161" t="s">
        <v>100</v>
      </c>
      <c r="C121" s="162">
        <v>7829</v>
      </c>
      <c r="D121" s="162">
        <v>21342</v>
      </c>
      <c r="E121" s="162">
        <v>20862</v>
      </c>
      <c r="F121" s="162">
        <v>22180</v>
      </c>
      <c r="G121" s="162">
        <v>25047</v>
      </c>
      <c r="H121" s="162">
        <v>24284</v>
      </c>
      <c r="I121" s="163">
        <f>IFERROR(H121/G121-1,"-")</f>
        <v>-3.0462730067473132E-2</v>
      </c>
      <c r="J121" s="162">
        <f t="shared" ref="J121:J131" si="40">H121-G121</f>
        <v>-763</v>
      </c>
      <c r="K121" s="163">
        <f>H121/H$8</f>
        <v>8.512273110625199E-3</v>
      </c>
      <c r="L121" s="81"/>
    </row>
    <row r="122" spans="1:12" x14ac:dyDescent="0.25">
      <c r="A122" s="164" t="s">
        <v>106</v>
      </c>
      <c r="B122" s="165" t="s">
        <v>106</v>
      </c>
      <c r="C122" s="166">
        <v>3366</v>
      </c>
      <c r="D122" s="166">
        <v>10970</v>
      </c>
      <c r="E122" s="166">
        <v>10227</v>
      </c>
      <c r="F122" s="166">
        <v>10477</v>
      </c>
      <c r="G122" s="166">
        <v>11822</v>
      </c>
      <c r="H122" s="166">
        <v>12721</v>
      </c>
      <c r="I122" s="167">
        <f>IFERROR(H122/G122-1,"-")</f>
        <v>7.6044662493655935E-2</v>
      </c>
      <c r="J122" s="166">
        <f t="shared" si="40"/>
        <v>899</v>
      </c>
      <c r="K122" s="167">
        <f>H122/H$8</f>
        <v>4.4590934870805121E-3</v>
      </c>
      <c r="L122" s="81"/>
    </row>
    <row r="123" spans="1:12" x14ac:dyDescent="0.25">
      <c r="A123" s="164" t="s">
        <v>103</v>
      </c>
      <c r="B123" s="165" t="s">
        <v>103</v>
      </c>
      <c r="C123" s="166">
        <v>4463</v>
      </c>
      <c r="D123" s="166">
        <v>10372</v>
      </c>
      <c r="E123" s="166">
        <v>10635</v>
      </c>
      <c r="F123" s="166">
        <v>11703</v>
      </c>
      <c r="G123" s="166">
        <v>13225</v>
      </c>
      <c r="H123" s="166">
        <v>11563</v>
      </c>
      <c r="I123" s="167">
        <f>IFERROR(H123/G123-1,"-")</f>
        <v>-0.12567107750472595</v>
      </c>
      <c r="J123" s="166">
        <f t="shared" si="40"/>
        <v>-1662</v>
      </c>
      <c r="K123" s="167">
        <f>H123/H$8</f>
        <v>4.0531796235446869E-3</v>
      </c>
      <c r="L123" s="81"/>
    </row>
    <row r="124" spans="1:12" x14ac:dyDescent="0.25">
      <c r="A124" s="164"/>
      <c r="B124" s="161" t="s">
        <v>110</v>
      </c>
      <c r="C124" s="162">
        <v>5717</v>
      </c>
      <c r="D124" s="162">
        <v>25403</v>
      </c>
      <c r="E124" s="162">
        <v>33196</v>
      </c>
      <c r="F124" s="162">
        <v>30946</v>
      </c>
      <c r="G124" s="162">
        <v>30168</v>
      </c>
      <c r="H124" s="162">
        <v>30661</v>
      </c>
      <c r="I124" s="163">
        <f>IFERROR(H124/G124-1,"-")</f>
        <v>1.63418191461151E-2</v>
      </c>
      <c r="J124" s="162">
        <f t="shared" si="40"/>
        <v>493</v>
      </c>
      <c r="K124" s="163">
        <f>H124/H$8</f>
        <v>1.074760360092568E-2</v>
      </c>
      <c r="L124" s="81"/>
    </row>
    <row r="125" spans="1:12" s="58" customFormat="1" x14ac:dyDescent="0.25">
      <c r="A125" s="164"/>
      <c r="B125" s="165" t="s">
        <v>113</v>
      </c>
      <c r="C125" s="166">
        <v>669</v>
      </c>
      <c r="D125" s="166">
        <v>2281</v>
      </c>
      <c r="E125" s="166">
        <v>3617</v>
      </c>
      <c r="F125" s="166">
        <v>3687</v>
      </c>
      <c r="G125" s="166">
        <v>3685</v>
      </c>
      <c r="H125" s="166">
        <v>3162</v>
      </c>
      <c r="I125" s="167">
        <f t="shared" ref="I125:I132" si="41">IFERROR(H125/G125-1,"-")</f>
        <v>-0.14192672998643152</v>
      </c>
      <c r="J125" s="166">
        <f t="shared" si="40"/>
        <v>-523</v>
      </c>
      <c r="K125" s="167">
        <f t="shared" ref="K125:K132" si="42">H125/H$8</f>
        <v>1.1083761973232119E-3</v>
      </c>
      <c r="L125" s="168"/>
    </row>
    <row r="126" spans="1:12" s="58" customFormat="1" x14ac:dyDescent="0.25">
      <c r="A126" s="164"/>
      <c r="B126" s="165" t="s">
        <v>116</v>
      </c>
      <c r="C126" s="166">
        <v>611</v>
      </c>
      <c r="D126" s="166">
        <v>6016</v>
      </c>
      <c r="E126" s="166">
        <v>5291</v>
      </c>
      <c r="F126" s="166">
        <v>6047</v>
      </c>
      <c r="G126" s="166">
        <v>5549</v>
      </c>
      <c r="H126" s="166">
        <v>6551</v>
      </c>
      <c r="I126" s="167">
        <f t="shared" si="41"/>
        <v>0.18057307622995133</v>
      </c>
      <c r="J126" s="166">
        <f t="shared" si="40"/>
        <v>1002</v>
      </c>
      <c r="K126" s="167">
        <f t="shared" si="42"/>
        <v>2.2963227288628593E-3</v>
      </c>
      <c r="L126" s="168"/>
    </row>
    <row r="127" spans="1:12" x14ac:dyDescent="0.25">
      <c r="A127" s="164"/>
      <c r="B127" s="165" t="s">
        <v>119</v>
      </c>
      <c r="C127" s="166">
        <v>597</v>
      </c>
      <c r="D127" s="166">
        <v>2122</v>
      </c>
      <c r="E127" s="166">
        <v>2595</v>
      </c>
      <c r="F127" s="166">
        <v>2270</v>
      </c>
      <c r="G127" s="166">
        <v>2368</v>
      </c>
      <c r="H127" s="166">
        <v>2523</v>
      </c>
      <c r="I127" s="167">
        <f t="shared" si="41"/>
        <v>6.5456081081081141E-2</v>
      </c>
      <c r="J127" s="166">
        <f t="shared" si="40"/>
        <v>155</v>
      </c>
      <c r="K127" s="167">
        <f t="shared" si="42"/>
        <v>8.8438745915447935E-4</v>
      </c>
      <c r="L127" s="81"/>
    </row>
    <row r="128" spans="1:12" x14ac:dyDescent="0.25">
      <c r="A128" s="164"/>
      <c r="B128" s="165" t="s">
        <v>126</v>
      </c>
      <c r="C128" s="166">
        <v>101</v>
      </c>
      <c r="D128" s="166">
        <v>771</v>
      </c>
      <c r="E128" s="166">
        <v>835</v>
      </c>
      <c r="F128" s="166">
        <v>981</v>
      </c>
      <c r="G128" s="166">
        <v>744</v>
      </c>
      <c r="H128" s="166">
        <v>814</v>
      </c>
      <c r="I128" s="167">
        <f t="shared" si="41"/>
        <v>9.4086021505376261E-2</v>
      </c>
      <c r="J128" s="166">
        <f t="shared" si="40"/>
        <v>70</v>
      </c>
      <c r="K128" s="167">
        <f t="shared" si="42"/>
        <v>2.8533150683779081E-4</v>
      </c>
      <c r="L128" s="81"/>
    </row>
    <row r="129" spans="1:12" x14ac:dyDescent="0.25">
      <c r="A129" s="164"/>
      <c r="B129" s="165" t="s">
        <v>122</v>
      </c>
      <c r="C129" s="166">
        <v>193</v>
      </c>
      <c r="D129" s="166">
        <v>547</v>
      </c>
      <c r="E129" s="166">
        <v>662</v>
      </c>
      <c r="F129" s="166">
        <v>674</v>
      </c>
      <c r="G129" s="166">
        <v>812</v>
      </c>
      <c r="H129" s="166">
        <v>797</v>
      </c>
      <c r="I129" s="167">
        <f t="shared" si="41"/>
        <v>-1.8472906403940836E-2</v>
      </c>
      <c r="J129" s="166">
        <f t="shared" si="40"/>
        <v>-15</v>
      </c>
      <c r="K129" s="167">
        <f t="shared" si="42"/>
        <v>2.7937249502422512E-4</v>
      </c>
      <c r="L129" s="81"/>
    </row>
    <row r="130" spans="1:12" x14ac:dyDescent="0.25">
      <c r="A130" s="164"/>
      <c r="B130" s="165" t="s">
        <v>131</v>
      </c>
      <c r="C130" s="166">
        <v>13</v>
      </c>
      <c r="D130" s="166">
        <v>464</v>
      </c>
      <c r="E130" s="166">
        <v>400</v>
      </c>
      <c r="F130" s="166">
        <v>442</v>
      </c>
      <c r="G130" s="166">
        <v>377</v>
      </c>
      <c r="H130" s="166">
        <v>459</v>
      </c>
      <c r="I130" s="167">
        <f t="shared" si="41"/>
        <v>0.21750663129973469</v>
      </c>
      <c r="J130" s="166">
        <f t="shared" si="40"/>
        <v>82</v>
      </c>
      <c r="K130" s="167">
        <f t="shared" si="42"/>
        <v>1.608933189662727E-4</v>
      </c>
      <c r="L130" s="81"/>
    </row>
    <row r="131" spans="1:12" x14ac:dyDescent="0.25">
      <c r="A131" s="164" t="s">
        <v>147</v>
      </c>
      <c r="B131" s="165" t="s">
        <v>134</v>
      </c>
      <c r="C131" s="166">
        <v>47</v>
      </c>
      <c r="D131" s="166">
        <v>727</v>
      </c>
      <c r="E131" s="166">
        <v>662</v>
      </c>
      <c r="F131" s="166">
        <v>656</v>
      </c>
      <c r="G131" s="166">
        <v>889</v>
      </c>
      <c r="H131" s="166">
        <v>775</v>
      </c>
      <c r="I131" s="167">
        <f t="shared" si="41"/>
        <v>-0.12823397075365583</v>
      </c>
      <c r="J131" s="166">
        <f t="shared" si="40"/>
        <v>-114</v>
      </c>
      <c r="K131" s="167">
        <f t="shared" si="42"/>
        <v>2.7166083267725783E-4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3486</v>
      </c>
      <c r="D132" s="171">
        <f t="shared" ref="D132:H132" si="44">D124-SUM(D125:D131)</f>
        <v>12475</v>
      </c>
      <c r="E132" s="171">
        <f t="shared" si="44"/>
        <v>19134</v>
      </c>
      <c r="F132" s="171">
        <f t="shared" si="44"/>
        <v>16189</v>
      </c>
      <c r="G132" s="171">
        <f t="shared" si="44"/>
        <v>15744</v>
      </c>
      <c r="H132" s="171">
        <f t="shared" si="44"/>
        <v>15580</v>
      </c>
      <c r="I132" s="172">
        <f t="shared" si="41"/>
        <v>-1.041666666666663E-2</v>
      </c>
      <c r="J132" s="171">
        <f>H132-G132</f>
        <v>-164</v>
      </c>
      <c r="K132" s="172">
        <f t="shared" si="42"/>
        <v>5.4612590620795832E-3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33192</v>
      </c>
      <c r="D134" s="178">
        <v>123213</v>
      </c>
      <c r="E134" s="178">
        <v>156141</v>
      </c>
      <c r="F134" s="178">
        <v>158524</v>
      </c>
      <c r="G134" s="178">
        <v>160539</v>
      </c>
      <c r="H134" s="178">
        <v>163498</v>
      </c>
      <c r="I134" s="179">
        <f>IFERROR(H134/G134-1,"-")</f>
        <v>1.8431658350930302E-2</v>
      </c>
      <c r="J134" s="178">
        <f>H134-G134</f>
        <v>2959</v>
      </c>
      <c r="K134" s="179">
        <f>H134/H$8</f>
        <v>5.7310971382021028E-2</v>
      </c>
      <c r="L134" s="81"/>
    </row>
    <row r="135" spans="1:12" x14ac:dyDescent="0.25">
      <c r="A135" s="164" t="s">
        <v>99</v>
      </c>
      <c r="B135" s="161" t="s">
        <v>100</v>
      </c>
      <c r="C135" s="162">
        <v>4505</v>
      </c>
      <c r="D135" s="162">
        <v>6454</v>
      </c>
      <c r="E135" s="162">
        <v>7585</v>
      </c>
      <c r="F135" s="162">
        <v>6411</v>
      </c>
      <c r="G135" s="162">
        <v>5544</v>
      </c>
      <c r="H135" s="162">
        <v>7404</v>
      </c>
      <c r="I135" s="163">
        <f>IFERROR(H135/G135-1,"-")</f>
        <v>0.33549783549783552</v>
      </c>
      <c r="J135" s="162">
        <f t="shared" ref="J135:J145" si="45">H135-G135</f>
        <v>1860</v>
      </c>
      <c r="K135" s="163">
        <f>H135/H$8</f>
        <v>2.5953249098611829E-3</v>
      </c>
      <c r="L135" s="81"/>
    </row>
    <row r="136" spans="1:12" x14ac:dyDescent="0.25">
      <c r="A136" s="164" t="s">
        <v>106</v>
      </c>
      <c r="B136" s="165" t="s">
        <v>106</v>
      </c>
      <c r="C136" s="166">
        <v>3275</v>
      </c>
      <c r="D136" s="166">
        <v>3577</v>
      </c>
      <c r="E136" s="166">
        <v>3782</v>
      </c>
      <c r="F136" s="166">
        <v>2294</v>
      </c>
      <c r="G136" s="166">
        <v>954</v>
      </c>
      <c r="H136" s="166">
        <v>2380</v>
      </c>
      <c r="I136" s="167">
        <f>IFERROR(H136/G136-1,"-")</f>
        <v>1.4947589098532497</v>
      </c>
      <c r="J136" s="166">
        <f t="shared" si="45"/>
        <v>1426</v>
      </c>
      <c r="K136" s="167">
        <f>H136/H$8</f>
        <v>8.3426165389919173E-4</v>
      </c>
      <c r="L136" s="81"/>
    </row>
    <row r="137" spans="1:12" x14ac:dyDescent="0.25">
      <c r="A137" s="164" t="s">
        <v>103</v>
      </c>
      <c r="B137" s="165" t="s">
        <v>103</v>
      </c>
      <c r="C137" s="166">
        <v>1230</v>
      </c>
      <c r="D137" s="166">
        <v>2877</v>
      </c>
      <c r="E137" s="166">
        <v>3803</v>
      </c>
      <c r="F137" s="166">
        <v>4117</v>
      </c>
      <c r="G137" s="166">
        <v>4590</v>
      </c>
      <c r="H137" s="166">
        <v>5024</v>
      </c>
      <c r="I137" s="167">
        <f>IFERROR(H137/G137-1,"-")</f>
        <v>9.4553376906318043E-2</v>
      </c>
      <c r="J137" s="166">
        <f t="shared" si="45"/>
        <v>434</v>
      </c>
      <c r="K137" s="167">
        <f>H137/H$8</f>
        <v>1.7610632559619914E-3</v>
      </c>
      <c r="L137" s="81"/>
    </row>
    <row r="138" spans="1:12" x14ac:dyDescent="0.25">
      <c r="A138" s="164"/>
      <c r="B138" s="161" t="s">
        <v>110</v>
      </c>
      <c r="C138" s="162">
        <v>28687</v>
      </c>
      <c r="D138" s="162">
        <v>116759</v>
      </c>
      <c r="E138" s="162">
        <v>148556</v>
      </c>
      <c r="F138" s="162">
        <v>152113</v>
      </c>
      <c r="G138" s="162">
        <v>154995</v>
      </c>
      <c r="H138" s="162">
        <v>156094</v>
      </c>
      <c r="I138" s="163">
        <f>IFERROR(H138/G138-1,"-")</f>
        <v>7.0905513081067628E-3</v>
      </c>
      <c r="J138" s="162">
        <f t="shared" si="45"/>
        <v>1099</v>
      </c>
      <c r="K138" s="163">
        <f>H138/H$8</f>
        <v>5.4715646472159846E-2</v>
      </c>
      <c r="L138" s="81"/>
    </row>
    <row r="139" spans="1:12" s="58" customFormat="1" x14ac:dyDescent="0.25">
      <c r="A139" s="164"/>
      <c r="B139" s="165" t="s">
        <v>113</v>
      </c>
      <c r="C139" s="166">
        <v>8843</v>
      </c>
      <c r="D139" s="166">
        <v>38812</v>
      </c>
      <c r="E139" s="166">
        <v>61422</v>
      </c>
      <c r="F139" s="166">
        <v>58399</v>
      </c>
      <c r="G139" s="166">
        <v>63488</v>
      </c>
      <c r="H139" s="166">
        <v>63934</v>
      </c>
      <c r="I139" s="167">
        <f t="shared" ref="I139:I146" si="46">IFERROR(H139/G139-1,"-")</f>
        <v>7.0249495967742437E-3</v>
      </c>
      <c r="J139" s="166">
        <f t="shared" si="45"/>
        <v>446</v>
      </c>
      <c r="K139" s="167">
        <f t="shared" ref="K139:K146" si="47">H139/H$8</f>
        <v>2.2410791840500387E-2</v>
      </c>
      <c r="L139" s="168"/>
    </row>
    <row r="140" spans="1:12" s="58" customFormat="1" x14ac:dyDescent="0.25">
      <c r="A140" s="164"/>
      <c r="B140" s="165" t="s">
        <v>116</v>
      </c>
      <c r="C140" s="166">
        <v>3478</v>
      </c>
      <c r="D140" s="166">
        <v>12912</v>
      </c>
      <c r="E140" s="166">
        <v>13422</v>
      </c>
      <c r="F140" s="166">
        <v>16292</v>
      </c>
      <c r="G140" s="166">
        <v>15069</v>
      </c>
      <c r="H140" s="166">
        <v>16167</v>
      </c>
      <c r="I140" s="167">
        <f t="shared" si="46"/>
        <v>7.2864821819629721E-2</v>
      </c>
      <c r="J140" s="166">
        <f t="shared" si="45"/>
        <v>1098</v>
      </c>
      <c r="K140" s="167">
        <f t="shared" si="47"/>
        <v>5.6670202347009384E-3</v>
      </c>
      <c r="L140" s="168"/>
    </row>
    <row r="141" spans="1:12" x14ac:dyDescent="0.25">
      <c r="A141" s="164"/>
      <c r="B141" s="165" t="s">
        <v>119</v>
      </c>
      <c r="C141" s="166">
        <v>3888</v>
      </c>
      <c r="D141" s="166">
        <v>11942</v>
      </c>
      <c r="E141" s="166">
        <v>11919</v>
      </c>
      <c r="F141" s="166">
        <v>10446</v>
      </c>
      <c r="G141" s="166">
        <v>9423</v>
      </c>
      <c r="H141" s="166">
        <v>10324</v>
      </c>
      <c r="I141" s="167">
        <f t="shared" si="46"/>
        <v>9.5617107078425079E-2</v>
      </c>
      <c r="J141" s="166">
        <f t="shared" si="45"/>
        <v>901</v>
      </c>
      <c r="K141" s="167">
        <f t="shared" si="47"/>
        <v>3.6188728213677546E-3</v>
      </c>
      <c r="L141" s="81"/>
    </row>
    <row r="142" spans="1:12" x14ac:dyDescent="0.25">
      <c r="A142" s="164"/>
      <c r="B142" s="165" t="s">
        <v>126</v>
      </c>
      <c r="C142" s="166">
        <v>515</v>
      </c>
      <c r="D142" s="166">
        <v>4373</v>
      </c>
      <c r="E142" s="166">
        <v>3879</v>
      </c>
      <c r="F142" s="166">
        <v>5808</v>
      </c>
      <c r="G142" s="166">
        <v>3856</v>
      </c>
      <c r="H142" s="166">
        <v>4138</v>
      </c>
      <c r="I142" s="167">
        <f t="shared" si="46"/>
        <v>7.3132780082987514E-2</v>
      </c>
      <c r="J142" s="166">
        <f t="shared" si="45"/>
        <v>282</v>
      </c>
      <c r="K142" s="167">
        <f t="shared" si="47"/>
        <v>1.4504935814432167E-3</v>
      </c>
      <c r="L142" s="81"/>
    </row>
    <row r="143" spans="1:12" x14ac:dyDescent="0.25">
      <c r="A143" s="164"/>
      <c r="B143" s="165" t="s">
        <v>122</v>
      </c>
      <c r="C143" s="166">
        <v>659</v>
      </c>
      <c r="D143" s="166">
        <v>3131</v>
      </c>
      <c r="E143" s="166">
        <v>3054</v>
      </c>
      <c r="F143" s="166">
        <v>3610</v>
      </c>
      <c r="G143" s="166">
        <v>3325</v>
      </c>
      <c r="H143" s="166">
        <v>3493</v>
      </c>
      <c r="I143" s="167">
        <f t="shared" si="46"/>
        <v>5.0526315789473752E-2</v>
      </c>
      <c r="J143" s="166">
        <f t="shared" si="45"/>
        <v>168</v>
      </c>
      <c r="K143" s="167">
        <f t="shared" si="47"/>
        <v>1.224401662634402E-3</v>
      </c>
      <c r="L143" s="81"/>
    </row>
    <row r="144" spans="1:12" x14ac:dyDescent="0.25">
      <c r="A144" s="164"/>
      <c r="B144" s="165" t="s">
        <v>131</v>
      </c>
      <c r="C144" s="166">
        <v>51</v>
      </c>
      <c r="D144" s="166">
        <v>3914</v>
      </c>
      <c r="E144" s="166">
        <v>4094</v>
      </c>
      <c r="F144" s="166">
        <v>4075</v>
      </c>
      <c r="G144" s="166">
        <v>4912</v>
      </c>
      <c r="H144" s="166">
        <v>3725</v>
      </c>
      <c r="I144" s="167">
        <f t="shared" si="46"/>
        <v>-0.24165309446254069</v>
      </c>
      <c r="J144" s="166">
        <f t="shared" si="45"/>
        <v>-1187</v>
      </c>
      <c r="K144" s="167">
        <f t="shared" si="47"/>
        <v>1.3057246473842392E-3</v>
      </c>
      <c r="L144" s="81"/>
    </row>
    <row r="145" spans="1:12" x14ac:dyDescent="0.25">
      <c r="A145" s="164" t="s">
        <v>147</v>
      </c>
      <c r="B145" s="165" t="s">
        <v>134</v>
      </c>
      <c r="C145" s="166">
        <v>55</v>
      </c>
      <c r="D145" s="166">
        <v>2732</v>
      </c>
      <c r="E145" s="166">
        <v>4086</v>
      </c>
      <c r="F145" s="166">
        <v>3911</v>
      </c>
      <c r="G145" s="166">
        <v>3681</v>
      </c>
      <c r="H145" s="166">
        <v>3291</v>
      </c>
      <c r="I145" s="167">
        <f t="shared" si="46"/>
        <v>-0.10594947025264878</v>
      </c>
      <c r="J145" s="166">
        <f t="shared" si="45"/>
        <v>-390</v>
      </c>
      <c r="K145" s="167">
        <f t="shared" si="47"/>
        <v>1.1535945810849748E-3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11198</v>
      </c>
      <c r="D146" s="171">
        <f t="shared" ref="D146:H146" si="49">D138-SUM(D139:D145)</f>
        <v>38943</v>
      </c>
      <c r="E146" s="171">
        <f t="shared" si="49"/>
        <v>46680</v>
      </c>
      <c r="F146" s="171">
        <f t="shared" si="49"/>
        <v>49572</v>
      </c>
      <c r="G146" s="171">
        <f t="shared" si="49"/>
        <v>51241</v>
      </c>
      <c r="H146" s="171">
        <f t="shared" si="49"/>
        <v>51022</v>
      </c>
      <c r="I146" s="172">
        <f t="shared" si="46"/>
        <v>-4.2739212739798527E-3</v>
      </c>
      <c r="J146" s="171">
        <f>H146-G146</f>
        <v>-219</v>
      </c>
      <c r="K146" s="172">
        <f t="shared" si="47"/>
        <v>1.7884747103043934E-2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9201</v>
      </c>
      <c r="D148" s="178">
        <v>49273</v>
      </c>
      <c r="E148" s="178">
        <v>67054</v>
      </c>
      <c r="F148" s="178">
        <v>69277</v>
      </c>
      <c r="G148" s="178">
        <v>57912</v>
      </c>
      <c r="H148" s="178">
        <v>47365</v>
      </c>
      <c r="I148" s="179">
        <f>IFERROR(H148/G148-1,"-")</f>
        <v>-0.182121149330018</v>
      </c>
      <c r="J148" s="178">
        <f>H148-G148</f>
        <v>-10547</v>
      </c>
      <c r="K148" s="179">
        <f>H148/H$8</f>
        <v>1.6602858502913955E-2</v>
      </c>
      <c r="L148" s="81"/>
    </row>
    <row r="149" spans="1:12" x14ac:dyDescent="0.25">
      <c r="A149" s="164" t="s">
        <v>99</v>
      </c>
      <c r="B149" s="161" t="s">
        <v>100</v>
      </c>
      <c r="C149" s="162">
        <v>4341</v>
      </c>
      <c r="D149" s="162">
        <v>12149</v>
      </c>
      <c r="E149" s="162">
        <v>22325</v>
      </c>
      <c r="F149" s="162">
        <v>20535</v>
      </c>
      <c r="G149" s="162">
        <v>14679</v>
      </c>
      <c r="H149" s="162">
        <v>9482</v>
      </c>
      <c r="I149" s="163">
        <f>IFERROR(H149/G149-1,"-")</f>
        <v>-0.35404319095306225</v>
      </c>
      <c r="J149" s="162">
        <f t="shared" ref="J149:J159" si="50">H149-G149</f>
        <v>-5197</v>
      </c>
      <c r="K149" s="163">
        <f>H149/H$8</f>
        <v>3.3237264715429145E-3</v>
      </c>
      <c r="L149" s="81"/>
    </row>
    <row r="150" spans="1:12" x14ac:dyDescent="0.25">
      <c r="A150" s="164" t="s">
        <v>106</v>
      </c>
      <c r="B150" s="165" t="s">
        <v>106</v>
      </c>
      <c r="C150" s="166">
        <v>3687</v>
      </c>
      <c r="D150" s="166">
        <v>9173</v>
      </c>
      <c r="E150" s="166">
        <v>15069</v>
      </c>
      <c r="F150" s="166">
        <v>15996</v>
      </c>
      <c r="G150" s="166">
        <v>9408</v>
      </c>
      <c r="H150" s="166">
        <v>2996</v>
      </c>
      <c r="I150" s="167">
        <f>IFERROR(H150/G150-1,"-")</f>
        <v>-0.68154761904761907</v>
      </c>
      <c r="J150" s="166">
        <f t="shared" si="50"/>
        <v>-6412</v>
      </c>
      <c r="K150" s="167">
        <f>H150/H$8</f>
        <v>1.0501881996142766E-3</v>
      </c>
      <c r="L150" s="81"/>
    </row>
    <row r="151" spans="1:12" x14ac:dyDescent="0.25">
      <c r="A151" s="164" t="s">
        <v>103</v>
      </c>
      <c r="B151" s="165" t="s">
        <v>103</v>
      </c>
      <c r="C151" s="166">
        <v>654</v>
      </c>
      <c r="D151" s="166">
        <v>2976</v>
      </c>
      <c r="E151" s="166">
        <v>7256</v>
      </c>
      <c r="F151" s="166">
        <v>4539</v>
      </c>
      <c r="G151" s="166">
        <v>5271</v>
      </c>
      <c r="H151" s="166">
        <v>6486</v>
      </c>
      <c r="I151" s="167">
        <f>IFERROR(H151/G151-1,"-")</f>
        <v>0.23050654524758118</v>
      </c>
      <c r="J151" s="166">
        <f t="shared" si="50"/>
        <v>1215</v>
      </c>
      <c r="K151" s="167">
        <f>H151/H$8</f>
        <v>2.2735382719286379E-3</v>
      </c>
      <c r="L151" s="81"/>
    </row>
    <row r="152" spans="1:12" x14ac:dyDescent="0.25">
      <c r="A152" s="164"/>
      <c r="B152" s="161" t="s">
        <v>110</v>
      </c>
      <c r="C152" s="162">
        <v>4860</v>
      </c>
      <c r="D152" s="162">
        <v>37124</v>
      </c>
      <c r="E152" s="162">
        <v>44729</v>
      </c>
      <c r="F152" s="162">
        <v>48742</v>
      </c>
      <c r="G152" s="162">
        <v>43233</v>
      </c>
      <c r="H152" s="162">
        <v>37883</v>
      </c>
      <c r="I152" s="163">
        <f>IFERROR(H152/G152-1,"-")</f>
        <v>-0.12374806282238104</v>
      </c>
      <c r="J152" s="162">
        <f t="shared" si="50"/>
        <v>-5350</v>
      </c>
      <c r="K152" s="163">
        <f>H152/H$8</f>
        <v>1.3279132031371042E-2</v>
      </c>
      <c r="L152" s="81"/>
    </row>
    <row r="153" spans="1:12" s="58" customFormat="1" x14ac:dyDescent="0.25">
      <c r="A153" s="164"/>
      <c r="B153" s="165" t="s">
        <v>113</v>
      </c>
      <c r="C153" s="166">
        <v>1172</v>
      </c>
      <c r="D153" s="166">
        <v>10207</v>
      </c>
      <c r="E153" s="166">
        <v>16435</v>
      </c>
      <c r="F153" s="166">
        <v>16781</v>
      </c>
      <c r="G153" s="166">
        <v>8810</v>
      </c>
      <c r="H153" s="166">
        <v>11343</v>
      </c>
      <c r="I153" s="167">
        <f t="shared" ref="I153:I160" si="51">IFERROR(H153/G153-1,"-")</f>
        <v>0.28751418842224741</v>
      </c>
      <c r="J153" s="166">
        <f t="shared" si="50"/>
        <v>2533</v>
      </c>
      <c r="K153" s="167">
        <f t="shared" ref="K153:K160" si="52">H153/H$8</f>
        <v>3.9760630000750131E-3</v>
      </c>
      <c r="L153" s="168"/>
    </row>
    <row r="154" spans="1:12" s="58" customFormat="1" x14ac:dyDescent="0.25">
      <c r="A154" s="164"/>
      <c r="B154" s="165" t="s">
        <v>116</v>
      </c>
      <c r="C154" s="166">
        <v>1924</v>
      </c>
      <c r="D154" s="166">
        <v>14832</v>
      </c>
      <c r="E154" s="166">
        <v>12087</v>
      </c>
      <c r="F154" s="166">
        <v>12106</v>
      </c>
      <c r="G154" s="166">
        <v>11872</v>
      </c>
      <c r="H154" s="166">
        <v>11204</v>
      </c>
      <c r="I154" s="167">
        <f t="shared" si="51"/>
        <v>-5.6266846361185952E-2</v>
      </c>
      <c r="J154" s="166">
        <f t="shared" si="50"/>
        <v>-668</v>
      </c>
      <c r="K154" s="167">
        <f t="shared" si="52"/>
        <v>3.9273393152464472E-3</v>
      </c>
      <c r="L154" s="168"/>
    </row>
    <row r="155" spans="1:12" x14ac:dyDescent="0.25">
      <c r="A155" s="164"/>
      <c r="B155" s="165" t="s">
        <v>119</v>
      </c>
      <c r="C155" s="166">
        <v>708</v>
      </c>
      <c r="D155" s="166">
        <v>2476</v>
      </c>
      <c r="E155" s="166">
        <v>5916</v>
      </c>
      <c r="F155" s="166">
        <v>6319</v>
      </c>
      <c r="G155" s="166">
        <v>10132</v>
      </c>
      <c r="H155" s="166">
        <v>4916</v>
      </c>
      <c r="I155" s="167">
        <f t="shared" si="51"/>
        <v>-0.51480457954994074</v>
      </c>
      <c r="J155" s="166">
        <f t="shared" si="50"/>
        <v>-5216</v>
      </c>
      <c r="K155" s="167">
        <f t="shared" si="52"/>
        <v>1.7232060044405154E-3</v>
      </c>
      <c r="L155" s="81"/>
    </row>
    <row r="156" spans="1:12" x14ac:dyDescent="0.25">
      <c r="A156" s="164"/>
      <c r="B156" s="165" t="s">
        <v>126</v>
      </c>
      <c r="C156" s="166">
        <v>39</v>
      </c>
      <c r="D156" s="166">
        <v>726</v>
      </c>
      <c r="E156" s="166">
        <v>1552</v>
      </c>
      <c r="F156" s="166">
        <v>1272</v>
      </c>
      <c r="G156" s="166">
        <v>1178</v>
      </c>
      <c r="H156" s="166">
        <v>1277</v>
      </c>
      <c r="I156" s="167">
        <f t="shared" si="51"/>
        <v>8.4040747028862439E-2</v>
      </c>
      <c r="J156" s="166">
        <f t="shared" si="50"/>
        <v>99</v>
      </c>
      <c r="K156" s="167">
        <f t="shared" si="52"/>
        <v>4.4762694623078482E-4</v>
      </c>
      <c r="L156" s="81"/>
    </row>
    <row r="157" spans="1:12" x14ac:dyDescent="0.25">
      <c r="A157" s="164"/>
      <c r="B157" s="165" t="s">
        <v>122</v>
      </c>
      <c r="C157" s="166">
        <v>84</v>
      </c>
      <c r="D157" s="166">
        <v>2086</v>
      </c>
      <c r="E157" s="166">
        <v>1815</v>
      </c>
      <c r="F157" s="166">
        <v>1323</v>
      </c>
      <c r="G157" s="166">
        <v>1611</v>
      </c>
      <c r="H157" s="166">
        <v>1121</v>
      </c>
      <c r="I157" s="167">
        <f t="shared" si="51"/>
        <v>-0.30415890751086283</v>
      </c>
      <c r="J157" s="166">
        <f t="shared" si="50"/>
        <v>-490</v>
      </c>
      <c r="K157" s="167">
        <f t="shared" si="52"/>
        <v>3.9294424958865291E-4</v>
      </c>
      <c r="L157" s="81"/>
    </row>
    <row r="158" spans="1:12" x14ac:dyDescent="0.25">
      <c r="A158" s="164"/>
      <c r="B158" s="165" t="s">
        <v>131</v>
      </c>
      <c r="C158" s="166">
        <v>19</v>
      </c>
      <c r="D158" s="166">
        <v>303</v>
      </c>
      <c r="E158" s="166">
        <v>354</v>
      </c>
      <c r="F158" s="166">
        <v>730</v>
      </c>
      <c r="G158" s="166">
        <v>750</v>
      </c>
      <c r="H158" s="166">
        <v>263</v>
      </c>
      <c r="I158" s="167">
        <f t="shared" si="51"/>
        <v>-0.64933333333333332</v>
      </c>
      <c r="J158" s="166">
        <f t="shared" si="50"/>
        <v>-487</v>
      </c>
      <c r="K158" s="167">
        <f t="shared" si="52"/>
        <v>9.218941805692749E-5</v>
      </c>
      <c r="L158" s="81"/>
    </row>
    <row r="159" spans="1:12" x14ac:dyDescent="0.25">
      <c r="A159" s="164" t="s">
        <v>147</v>
      </c>
      <c r="B159" s="165" t="s">
        <v>134</v>
      </c>
      <c r="C159" s="166">
        <v>8</v>
      </c>
      <c r="D159" s="166">
        <v>914</v>
      </c>
      <c r="E159" s="166">
        <v>532</v>
      </c>
      <c r="F159" s="166">
        <v>1191</v>
      </c>
      <c r="G159" s="166">
        <v>866</v>
      </c>
      <c r="H159" s="166">
        <v>606</v>
      </c>
      <c r="I159" s="167">
        <f t="shared" si="51"/>
        <v>-0.30023094688221708</v>
      </c>
      <c r="J159" s="166">
        <f t="shared" si="50"/>
        <v>-260</v>
      </c>
      <c r="K159" s="167">
        <f t="shared" si="52"/>
        <v>2.124212446482816E-4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906</v>
      </c>
      <c r="D160" s="171">
        <f t="shared" ref="D160:H160" si="54">D152-SUM(D153:D159)</f>
        <v>5580</v>
      </c>
      <c r="E160" s="171">
        <f t="shared" si="54"/>
        <v>6038</v>
      </c>
      <c r="F160" s="171">
        <f t="shared" si="54"/>
        <v>9020</v>
      </c>
      <c r="G160" s="171">
        <f t="shared" si="54"/>
        <v>8014</v>
      </c>
      <c r="H160" s="171">
        <f t="shared" si="54"/>
        <v>7153</v>
      </c>
      <c r="I160" s="172">
        <f t="shared" si="51"/>
        <v>-0.10743698527576739</v>
      </c>
      <c r="J160" s="171">
        <f>H160-G160</f>
        <v>-861</v>
      </c>
      <c r="K160" s="172">
        <f t="shared" si="52"/>
        <v>2.5073418530844197E-3</v>
      </c>
      <c r="L160" s="81"/>
    </row>
    <row r="161" spans="1:14" ht="6" customHeight="1" x14ac:dyDescent="0.25">
      <c r="A161" s="164"/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1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1">
    <mergeCell ref="B4:K4"/>
  </mergeCells>
  <pageMargins left="0.25" right="0.25" top="0.75" bottom="0.75" header="0.3" footer="0.3"/>
  <pageSetup paperSize="9" scale="2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D4F1A-F60D-4EF3-A6E8-4E9FCFA779C7}">
  <sheetPr>
    <tabColor rgb="FFF29140"/>
    <pageSetUpPr fitToPage="1"/>
  </sheetPr>
  <dimension ref="A1:N162"/>
  <sheetViews>
    <sheetView showGridLines="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</cols>
  <sheetData>
    <row r="1" spans="1:12" ht="42.75" customHeight="1" x14ac:dyDescent="0.25"/>
    <row r="3" spans="1:12" ht="42" customHeight="1" thickBot="1" x14ac:dyDescent="0.3">
      <c r="B3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3" s="283"/>
      <c r="D3" s="283"/>
      <c r="E3" s="283"/>
      <c r="F3" s="283"/>
      <c r="G3" s="283"/>
      <c r="H3" s="283"/>
      <c r="I3" s="283"/>
      <c r="J3" s="283"/>
      <c r="K3" s="283"/>
    </row>
    <row r="4" spans="1:12" ht="6" customHeight="1" x14ac:dyDescent="0.25"/>
    <row r="5" spans="1:12" ht="15.75" x14ac:dyDescent="0.25">
      <c r="B5" s="147"/>
      <c r="C5" s="313" t="s">
        <v>46</v>
      </c>
      <c r="D5" s="314"/>
      <c r="E5" s="314"/>
      <c r="F5" s="314"/>
      <c r="G5" s="314"/>
      <c r="H5" s="314"/>
      <c r="I5" s="314"/>
      <c r="J5" s="314"/>
      <c r="K5" s="314"/>
    </row>
    <row r="6" spans="1:12" s="148" customFormat="1" ht="72" customHeight="1" x14ac:dyDescent="0.25">
      <c r="B6" s="149"/>
      <c r="C6" s="174" t="s">
        <v>267</v>
      </c>
      <c r="D6" s="174" t="s">
        <v>268</v>
      </c>
      <c r="E6" s="174" t="s">
        <v>269</v>
      </c>
      <c r="F6" s="174" t="s">
        <v>270</v>
      </c>
      <c r="G6" s="174" t="s">
        <v>271</v>
      </c>
      <c r="H6" s="174" t="s">
        <v>272</v>
      </c>
      <c r="I6" s="175" t="str">
        <f>CONCATENATE("var. ",RIGHT(H6,2),"/",RIGHT(G6,2))</f>
        <v>var. 25/24</v>
      </c>
      <c r="J6" s="174" t="str">
        <f>CONCATENATE("dif. ",RIGHT(H6,2),"/",RIGHT(G6,2))</f>
        <v>dif. 25/24</v>
      </c>
      <c r="K6" s="175" t="str">
        <f>CONCATENATE("Cuota s/ total lugares de residencia ",RIGHT(H6,4))</f>
        <v>Cuota s/ total lugares de residencia 2025</v>
      </c>
    </row>
    <row r="7" spans="1:12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</row>
    <row r="8" spans="1:12" x14ac:dyDescent="0.25">
      <c r="A8" s="1"/>
      <c r="B8" s="158" t="s">
        <v>71</v>
      </c>
      <c r="C8" s="178">
        <v>10242762</v>
      </c>
      <c r="D8" s="178">
        <v>13903380</v>
      </c>
      <c r="E8" s="178">
        <v>31405937</v>
      </c>
      <c r="F8" s="178">
        <v>34492002</v>
      </c>
      <c r="G8" s="178">
        <v>36085760</v>
      </c>
      <c r="H8" s="178">
        <v>34978337</v>
      </c>
      <c r="I8" s="179">
        <f>IFERROR(H8/G8-1,"-")</f>
        <v>-3.0688642833073265E-2</v>
      </c>
      <c r="J8" s="178">
        <f>H8-G8</f>
        <v>-1107423</v>
      </c>
      <c r="K8" s="179">
        <f>H8/H$8</f>
        <v>1</v>
      </c>
      <c r="L8" s="81"/>
    </row>
    <row r="9" spans="1:12" x14ac:dyDescent="0.25">
      <c r="A9" s="1" t="s">
        <v>99</v>
      </c>
      <c r="B9" s="161" t="s">
        <v>100</v>
      </c>
      <c r="C9" s="162">
        <v>1666315</v>
      </c>
      <c r="D9" s="162">
        <v>2851484</v>
      </c>
      <c r="E9" s="162">
        <v>4154268</v>
      </c>
      <c r="F9" s="162">
        <v>4262718</v>
      </c>
      <c r="G9" s="162">
        <v>4222283</v>
      </c>
      <c r="H9" s="162">
        <v>4152241</v>
      </c>
      <c r="I9" s="163">
        <f>IFERROR(H9/G9-1,"-")</f>
        <v>-1.6588655947505138E-2</v>
      </c>
      <c r="J9" s="162">
        <f t="shared" ref="J9:J19" si="0">H9-G9</f>
        <v>-70042</v>
      </c>
      <c r="K9" s="163">
        <f>H9/H$8</f>
        <v>0.11870893118789495</v>
      </c>
      <c r="L9" s="81"/>
    </row>
    <row r="10" spans="1:12" x14ac:dyDescent="0.25">
      <c r="A10" s="164" t="s">
        <v>106</v>
      </c>
      <c r="B10" s="165" t="s">
        <v>106</v>
      </c>
      <c r="C10" s="166">
        <v>564792</v>
      </c>
      <c r="D10" s="166">
        <v>1116779</v>
      </c>
      <c r="E10" s="166">
        <v>1214668</v>
      </c>
      <c r="F10" s="166">
        <v>1323436</v>
      </c>
      <c r="G10" s="166">
        <v>1324542</v>
      </c>
      <c r="H10" s="166">
        <v>1190681</v>
      </c>
      <c r="I10" s="167">
        <f>IFERROR(H10/G10-1,"-")</f>
        <v>-0.10106210297597207</v>
      </c>
      <c r="J10" s="166">
        <f t="shared" si="0"/>
        <v>-133861</v>
      </c>
      <c r="K10" s="167">
        <f>H10/H$8</f>
        <v>3.4040526283453672E-2</v>
      </c>
      <c r="L10" s="81"/>
    </row>
    <row r="11" spans="1:12" x14ac:dyDescent="0.25">
      <c r="A11" s="164" t="s">
        <v>103</v>
      </c>
      <c r="B11" s="165" t="s">
        <v>103</v>
      </c>
      <c r="C11" s="166">
        <v>1101523</v>
      </c>
      <c r="D11" s="166">
        <v>1734705</v>
      </c>
      <c r="E11" s="166">
        <v>2939600</v>
      </c>
      <c r="F11" s="166">
        <v>2939282</v>
      </c>
      <c r="G11" s="166">
        <v>2897741</v>
      </c>
      <c r="H11" s="166">
        <v>2961560</v>
      </c>
      <c r="I11" s="167">
        <f>IFERROR(H11/G11-1,"-")</f>
        <v>2.2023707432789807E-2</v>
      </c>
      <c r="J11" s="166">
        <f t="shared" si="0"/>
        <v>63819</v>
      </c>
      <c r="K11" s="167">
        <f>H11/H$8</f>
        <v>8.4668404904441288E-2</v>
      </c>
      <c r="L11" s="81"/>
    </row>
    <row r="12" spans="1:12" x14ac:dyDescent="0.25">
      <c r="A12" s="1"/>
      <c r="B12" s="161" t="s">
        <v>110</v>
      </c>
      <c r="C12" s="162">
        <v>8576447</v>
      </c>
      <c r="D12" s="162">
        <v>11051896</v>
      </c>
      <c r="E12" s="162">
        <v>27251669</v>
      </c>
      <c r="F12" s="162">
        <v>30229284</v>
      </c>
      <c r="G12" s="162">
        <v>31863477</v>
      </c>
      <c r="H12" s="162">
        <v>30826096</v>
      </c>
      <c r="I12" s="163">
        <f>IFERROR(H12/G12-1,"-")</f>
        <v>-3.2557055841708649E-2</v>
      </c>
      <c r="J12" s="162">
        <f t="shared" si="0"/>
        <v>-1037381</v>
      </c>
      <c r="K12" s="163">
        <f>H12/H$8</f>
        <v>0.88129106881210506</v>
      </c>
      <c r="L12" s="81"/>
    </row>
    <row r="13" spans="1:12" s="58" customFormat="1" x14ac:dyDescent="0.25">
      <c r="A13" s="164"/>
      <c r="B13" s="165" t="s">
        <v>113</v>
      </c>
      <c r="C13" s="166">
        <v>3390676</v>
      </c>
      <c r="D13" s="166">
        <v>3350798</v>
      </c>
      <c r="E13" s="166">
        <v>12657617</v>
      </c>
      <c r="F13" s="166">
        <v>13879437</v>
      </c>
      <c r="G13" s="166">
        <v>14676825</v>
      </c>
      <c r="H13" s="166">
        <v>14264209</v>
      </c>
      <c r="I13" s="167">
        <f t="shared" ref="I13:I20" si="1">IFERROR(H13/G13-1,"-")</f>
        <v>-2.8113437340841818E-2</v>
      </c>
      <c r="J13" s="166">
        <f t="shared" si="0"/>
        <v>-412616</v>
      </c>
      <c r="K13" s="167">
        <f t="shared" ref="K13:K20" si="2">H13/H$8</f>
        <v>0.40780123423249082</v>
      </c>
      <c r="L13" s="168"/>
    </row>
    <row r="14" spans="1:12" s="58" customFormat="1" x14ac:dyDescent="0.25">
      <c r="A14" s="164"/>
      <c r="B14" s="165" t="s">
        <v>116</v>
      </c>
      <c r="C14" s="166">
        <v>1278287</v>
      </c>
      <c r="D14" s="166">
        <v>1806937</v>
      </c>
      <c r="E14" s="166">
        <v>3169256</v>
      </c>
      <c r="F14" s="166">
        <v>3606205</v>
      </c>
      <c r="G14" s="166">
        <v>3758646</v>
      </c>
      <c r="H14" s="166">
        <v>3569778</v>
      </c>
      <c r="I14" s="167">
        <f t="shared" si="1"/>
        <v>-5.0248946030033159E-2</v>
      </c>
      <c r="J14" s="166">
        <f t="shared" si="0"/>
        <v>-188868</v>
      </c>
      <c r="K14" s="167">
        <f t="shared" si="2"/>
        <v>0.10205682448539506</v>
      </c>
      <c r="L14" s="168"/>
    </row>
    <row r="15" spans="1:12" x14ac:dyDescent="0.25">
      <c r="A15" s="164"/>
      <c r="B15" s="165" t="s">
        <v>119</v>
      </c>
      <c r="C15" s="166">
        <v>395218</v>
      </c>
      <c r="D15" s="166">
        <v>815902</v>
      </c>
      <c r="E15" s="166">
        <v>1288352</v>
      </c>
      <c r="F15" s="166">
        <v>1510103</v>
      </c>
      <c r="G15" s="166">
        <v>1590940</v>
      </c>
      <c r="H15" s="166">
        <v>1541951</v>
      </c>
      <c r="I15" s="167">
        <f t="shared" si="1"/>
        <v>-3.0792487460243656E-2</v>
      </c>
      <c r="J15" s="166">
        <f t="shared" si="0"/>
        <v>-48989</v>
      </c>
      <c r="K15" s="167">
        <f t="shared" si="2"/>
        <v>4.4083027732278984E-2</v>
      </c>
      <c r="L15" s="81"/>
    </row>
    <row r="16" spans="1:12" x14ac:dyDescent="0.25">
      <c r="A16" s="164"/>
      <c r="B16" s="165" t="s">
        <v>126</v>
      </c>
      <c r="C16" s="166">
        <v>302671</v>
      </c>
      <c r="D16" s="166">
        <v>691981</v>
      </c>
      <c r="E16" s="166">
        <v>1287744</v>
      </c>
      <c r="F16" s="166">
        <v>1318405</v>
      </c>
      <c r="G16" s="166">
        <v>1376091</v>
      </c>
      <c r="H16" s="166">
        <v>1291992</v>
      </c>
      <c r="I16" s="167">
        <f t="shared" si="1"/>
        <v>-6.1114417578488678E-2</v>
      </c>
      <c r="J16" s="166">
        <f t="shared" si="0"/>
        <v>-84099</v>
      </c>
      <c r="K16" s="167">
        <f t="shared" si="2"/>
        <v>3.6936918985027788E-2</v>
      </c>
      <c r="L16" s="81"/>
    </row>
    <row r="17" spans="1:12" x14ac:dyDescent="0.25">
      <c r="A17" s="164"/>
      <c r="B17" s="165" t="s">
        <v>122</v>
      </c>
      <c r="C17" s="166">
        <v>443709</v>
      </c>
      <c r="D17" s="166">
        <v>726467</v>
      </c>
      <c r="E17" s="166">
        <v>1124652</v>
      </c>
      <c r="F17" s="166">
        <v>1170697</v>
      </c>
      <c r="G17" s="166">
        <v>1202943</v>
      </c>
      <c r="H17" s="166">
        <v>1125010</v>
      </c>
      <c r="I17" s="167">
        <f t="shared" si="1"/>
        <v>-6.4785280765589093E-2</v>
      </c>
      <c r="J17" s="166">
        <f t="shared" si="0"/>
        <v>-77933</v>
      </c>
      <c r="K17" s="167">
        <f t="shared" si="2"/>
        <v>3.216304994717159E-2</v>
      </c>
      <c r="L17" s="81"/>
    </row>
    <row r="18" spans="1:12" x14ac:dyDescent="0.25">
      <c r="A18" s="164"/>
      <c r="B18" s="165" t="s">
        <v>131</v>
      </c>
      <c r="C18" s="166">
        <v>241428</v>
      </c>
      <c r="D18" s="166">
        <v>191434</v>
      </c>
      <c r="E18" s="166">
        <v>491173</v>
      </c>
      <c r="F18" s="166">
        <v>523441</v>
      </c>
      <c r="G18" s="166">
        <v>511222</v>
      </c>
      <c r="H18" s="166">
        <v>496171</v>
      </c>
      <c r="I18" s="167">
        <f t="shared" si="1"/>
        <v>-2.9441221230698256E-2</v>
      </c>
      <c r="J18" s="166">
        <f t="shared" si="0"/>
        <v>-15051</v>
      </c>
      <c r="K18" s="167">
        <f t="shared" si="2"/>
        <v>1.4185094048353414E-2</v>
      </c>
      <c r="L18" s="81"/>
    </row>
    <row r="19" spans="1:12" x14ac:dyDescent="0.25">
      <c r="A19" s="164" t="s">
        <v>147</v>
      </c>
      <c r="B19" s="165" t="s">
        <v>134</v>
      </c>
      <c r="C19" s="166">
        <v>356220</v>
      </c>
      <c r="D19" s="166">
        <v>171613</v>
      </c>
      <c r="E19" s="166">
        <v>432862</v>
      </c>
      <c r="F19" s="166">
        <v>543161</v>
      </c>
      <c r="G19" s="166">
        <v>529346</v>
      </c>
      <c r="H19" s="166">
        <v>469492</v>
      </c>
      <c r="I19" s="167">
        <f t="shared" si="1"/>
        <v>-0.11307160156117169</v>
      </c>
      <c r="J19" s="166">
        <f t="shared" si="0"/>
        <v>-59854</v>
      </c>
      <c r="K19" s="167">
        <f t="shared" si="2"/>
        <v>1.3422364819688254E-2</v>
      </c>
      <c r="L19" s="81"/>
    </row>
    <row r="20" spans="1:12" x14ac:dyDescent="0.25">
      <c r="A20" s="164" t="s">
        <v>148</v>
      </c>
      <c r="B20" s="170" t="s">
        <v>148</v>
      </c>
      <c r="C20" s="171">
        <f t="shared" ref="C20" si="3">C12-SUM(C13:C19)</f>
        <v>2168238</v>
      </c>
      <c r="D20" s="171">
        <f t="shared" ref="D20:H20" si="4">D12-SUM(D13:D19)</f>
        <v>3296764</v>
      </c>
      <c r="E20" s="171">
        <f t="shared" si="4"/>
        <v>6800013</v>
      </c>
      <c r="F20" s="171">
        <f t="shared" si="4"/>
        <v>7677835</v>
      </c>
      <c r="G20" s="171">
        <f t="shared" si="4"/>
        <v>8217464</v>
      </c>
      <c r="H20" s="171">
        <f t="shared" si="4"/>
        <v>8067493</v>
      </c>
      <c r="I20" s="172">
        <f t="shared" si="1"/>
        <v>-1.8250277701246986E-2</v>
      </c>
      <c r="J20" s="171">
        <f>H20-G20</f>
        <v>-149971</v>
      </c>
      <c r="K20" s="172">
        <f t="shared" si="2"/>
        <v>0.23064255456169916</v>
      </c>
      <c r="L20" s="81"/>
    </row>
    <row r="21" spans="1:12" s="148" customFormat="1" x14ac:dyDescent="0.25">
      <c r="A21" s="164"/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</row>
    <row r="22" spans="1:12" x14ac:dyDescent="0.25">
      <c r="A22" s="164"/>
      <c r="B22" s="158" t="s">
        <v>71</v>
      </c>
      <c r="C22" s="178">
        <v>3719501</v>
      </c>
      <c r="D22" s="178">
        <v>5763674</v>
      </c>
      <c r="E22" s="178">
        <v>12632387</v>
      </c>
      <c r="F22" s="178">
        <v>13593290</v>
      </c>
      <c r="G22" s="178">
        <v>13840017</v>
      </c>
      <c r="H22" s="178">
        <v>13113733</v>
      </c>
      <c r="I22" s="179">
        <f>IFERROR(H22/G22-1,"-")</f>
        <v>-5.2477103171188255E-2</v>
      </c>
      <c r="J22" s="178">
        <f>H22-G22</f>
        <v>-726284</v>
      </c>
      <c r="K22" s="179">
        <f>H22/H$8</f>
        <v>0.37491013366358727</v>
      </c>
      <c r="L22" s="81"/>
    </row>
    <row r="23" spans="1:12" x14ac:dyDescent="0.25">
      <c r="A23" s="164" t="s">
        <v>99</v>
      </c>
      <c r="B23" s="161" t="s">
        <v>100</v>
      </c>
      <c r="C23" s="162">
        <v>368684</v>
      </c>
      <c r="D23" s="162">
        <v>926094</v>
      </c>
      <c r="E23" s="162">
        <v>924124</v>
      </c>
      <c r="F23" s="162">
        <v>819722</v>
      </c>
      <c r="G23" s="162">
        <v>742797</v>
      </c>
      <c r="H23" s="162">
        <v>653758</v>
      </c>
      <c r="I23" s="163">
        <f>IFERROR(H23/G23-1,"-")</f>
        <v>-0.11986989715898155</v>
      </c>
      <c r="J23" s="162">
        <f t="shared" ref="J23:J33" si="5">H23-G23</f>
        <v>-89039</v>
      </c>
      <c r="K23" s="163">
        <f>H23/H$8</f>
        <v>1.8690368269938046E-2</v>
      </c>
      <c r="L23" s="81"/>
    </row>
    <row r="24" spans="1:12" x14ac:dyDescent="0.25">
      <c r="A24" s="164" t="s">
        <v>106</v>
      </c>
      <c r="B24" s="165" t="s">
        <v>106</v>
      </c>
      <c r="C24" s="166">
        <v>171857</v>
      </c>
      <c r="D24" s="166">
        <v>341894</v>
      </c>
      <c r="E24" s="166">
        <v>286571</v>
      </c>
      <c r="F24" s="166">
        <v>258252</v>
      </c>
      <c r="G24" s="166">
        <v>219334</v>
      </c>
      <c r="H24" s="166">
        <v>218955</v>
      </c>
      <c r="I24" s="167">
        <f>IFERROR(H24/G24-1,"-")</f>
        <v>-1.7279582736831056E-3</v>
      </c>
      <c r="J24" s="166">
        <f t="shared" si="5"/>
        <v>-379</v>
      </c>
      <c r="K24" s="167">
        <f>H24/H$8</f>
        <v>6.2597315589932138E-3</v>
      </c>
      <c r="L24" s="81"/>
    </row>
    <row r="25" spans="1:12" x14ac:dyDescent="0.25">
      <c r="A25" s="164" t="s">
        <v>103</v>
      </c>
      <c r="B25" s="165" t="s">
        <v>12</v>
      </c>
      <c r="C25" s="166">
        <v>196827</v>
      </c>
      <c r="D25" s="166">
        <v>584200</v>
      </c>
      <c r="E25" s="166">
        <v>637553</v>
      </c>
      <c r="F25" s="166">
        <v>561470</v>
      </c>
      <c r="G25" s="166">
        <v>523463</v>
      </c>
      <c r="H25" s="166">
        <v>434803</v>
      </c>
      <c r="I25" s="167">
        <f>IFERROR(H25/G25-1,"-")</f>
        <v>-0.16937204730802369</v>
      </c>
      <c r="J25" s="166">
        <f t="shared" si="5"/>
        <v>-88660</v>
      </c>
      <c r="K25" s="167">
        <f>H25/H$8</f>
        <v>1.2430636710944834E-2</v>
      </c>
      <c r="L25" s="81"/>
    </row>
    <row r="26" spans="1:12" x14ac:dyDescent="0.25">
      <c r="A26" s="164"/>
      <c r="B26" s="161" t="s">
        <v>110</v>
      </c>
      <c r="C26" s="162">
        <v>3350817</v>
      </c>
      <c r="D26" s="162">
        <v>4837580</v>
      </c>
      <c r="E26" s="162">
        <v>11708263</v>
      </c>
      <c r="F26" s="162">
        <v>12773568</v>
      </c>
      <c r="G26" s="162">
        <v>13097220</v>
      </c>
      <c r="H26" s="162">
        <v>12459975</v>
      </c>
      <c r="I26" s="163">
        <f>IFERROR(H26/G26-1,"-")</f>
        <v>-4.8654981744217451E-2</v>
      </c>
      <c r="J26" s="162">
        <f t="shared" si="5"/>
        <v>-637245</v>
      </c>
      <c r="K26" s="163">
        <f>H26/H$8</f>
        <v>0.35621976539364919</v>
      </c>
      <c r="L26" s="81"/>
    </row>
    <row r="27" spans="1:12" s="58" customFormat="1" x14ac:dyDescent="0.25">
      <c r="A27" s="164"/>
      <c r="B27" s="165" t="s">
        <v>113</v>
      </c>
      <c r="C27" s="166">
        <v>1431730</v>
      </c>
      <c r="D27" s="166">
        <v>1575483</v>
      </c>
      <c r="E27" s="166">
        <v>5839663</v>
      </c>
      <c r="F27" s="166">
        <v>6457010</v>
      </c>
      <c r="G27" s="166">
        <v>6689570</v>
      </c>
      <c r="H27" s="166">
        <v>6403412</v>
      </c>
      <c r="I27" s="167">
        <f t="shared" ref="I27:I34" si="6">IFERROR(H27/G27-1,"-")</f>
        <v>-4.2776740507984856E-2</v>
      </c>
      <c r="J27" s="166">
        <f t="shared" si="5"/>
        <v>-286158</v>
      </c>
      <c r="K27" s="167">
        <f t="shared" ref="K27:K34" si="7">H27/H$8</f>
        <v>0.1830679371635078</v>
      </c>
      <c r="L27" s="168"/>
    </row>
    <row r="28" spans="1:12" s="58" customFormat="1" x14ac:dyDescent="0.25">
      <c r="A28" s="164"/>
      <c r="B28" s="165" t="s">
        <v>116</v>
      </c>
      <c r="C28" s="166">
        <v>473917</v>
      </c>
      <c r="D28" s="166">
        <v>851193</v>
      </c>
      <c r="E28" s="166">
        <v>1420539</v>
      </c>
      <c r="F28" s="166">
        <v>1496166</v>
      </c>
      <c r="G28" s="166">
        <v>1483358</v>
      </c>
      <c r="H28" s="166">
        <v>1371271</v>
      </c>
      <c r="I28" s="167">
        <f t="shared" si="6"/>
        <v>-7.556301310944491E-2</v>
      </c>
      <c r="J28" s="166">
        <f t="shared" si="5"/>
        <v>-112087</v>
      </c>
      <c r="K28" s="167">
        <f t="shared" si="7"/>
        <v>3.9203436115330469E-2</v>
      </c>
      <c r="L28" s="168"/>
    </row>
    <row r="29" spans="1:12" x14ac:dyDescent="0.25">
      <c r="A29" s="164"/>
      <c r="B29" s="165" t="s">
        <v>119</v>
      </c>
      <c r="C29" s="166">
        <v>167803</v>
      </c>
      <c r="D29" s="166">
        <v>321437</v>
      </c>
      <c r="E29" s="166">
        <v>466813</v>
      </c>
      <c r="F29" s="166">
        <v>535892</v>
      </c>
      <c r="G29" s="166">
        <v>462244</v>
      </c>
      <c r="H29" s="166">
        <v>396257</v>
      </c>
      <c r="I29" s="167">
        <f t="shared" si="6"/>
        <v>-0.14275361064719061</v>
      </c>
      <c r="J29" s="166">
        <f t="shared" si="5"/>
        <v>-65987</v>
      </c>
      <c r="K29" s="167">
        <f t="shared" si="7"/>
        <v>1.1328640352455864E-2</v>
      </c>
      <c r="L29" s="81"/>
    </row>
    <row r="30" spans="1:12" x14ac:dyDescent="0.25">
      <c r="A30" s="164"/>
      <c r="B30" s="165" t="s">
        <v>126</v>
      </c>
      <c r="C30" s="166">
        <v>128807</v>
      </c>
      <c r="D30" s="166">
        <v>321774</v>
      </c>
      <c r="E30" s="166">
        <v>583899</v>
      </c>
      <c r="F30" s="166">
        <v>553144</v>
      </c>
      <c r="G30" s="166">
        <v>562616</v>
      </c>
      <c r="H30" s="166">
        <v>539721</v>
      </c>
      <c r="I30" s="167">
        <f t="shared" si="6"/>
        <v>-4.0693830250117302E-2</v>
      </c>
      <c r="J30" s="166">
        <f t="shared" si="5"/>
        <v>-22895</v>
      </c>
      <c r="K30" s="167">
        <f t="shared" si="7"/>
        <v>1.5430150381363184E-2</v>
      </c>
      <c r="L30" s="81"/>
    </row>
    <row r="31" spans="1:12" x14ac:dyDescent="0.25">
      <c r="A31" s="164"/>
      <c r="B31" s="165" t="s">
        <v>122</v>
      </c>
      <c r="C31" s="166">
        <v>224222</v>
      </c>
      <c r="D31" s="166">
        <v>414396</v>
      </c>
      <c r="E31" s="166">
        <v>639629</v>
      </c>
      <c r="F31" s="166">
        <v>620048</v>
      </c>
      <c r="G31" s="166">
        <v>632422</v>
      </c>
      <c r="H31" s="166">
        <v>602571</v>
      </c>
      <c r="I31" s="167">
        <f t="shared" si="6"/>
        <v>-4.7201077761368171E-2</v>
      </c>
      <c r="J31" s="166">
        <f t="shared" si="5"/>
        <v>-29851</v>
      </c>
      <c r="K31" s="167">
        <f t="shared" si="7"/>
        <v>1.7226976799954784E-2</v>
      </c>
      <c r="L31" s="81"/>
    </row>
    <row r="32" spans="1:12" x14ac:dyDescent="0.25">
      <c r="A32" s="164"/>
      <c r="B32" s="165" t="s">
        <v>131</v>
      </c>
      <c r="C32" s="166">
        <v>94786</v>
      </c>
      <c r="D32" s="166">
        <v>58069</v>
      </c>
      <c r="E32" s="166">
        <v>177706</v>
      </c>
      <c r="F32" s="166">
        <v>184397</v>
      </c>
      <c r="G32" s="166">
        <v>184792</v>
      </c>
      <c r="H32" s="166">
        <v>177006</v>
      </c>
      <c r="I32" s="167">
        <f t="shared" si="6"/>
        <v>-4.2133858608597752E-2</v>
      </c>
      <c r="J32" s="166">
        <f t="shared" si="5"/>
        <v>-7786</v>
      </c>
      <c r="K32" s="167">
        <f t="shared" si="7"/>
        <v>5.0604464128754896E-3</v>
      </c>
      <c r="L32" s="81"/>
    </row>
    <row r="33" spans="1:12" x14ac:dyDescent="0.25">
      <c r="A33" s="164" t="s">
        <v>147</v>
      </c>
      <c r="B33" s="165" t="s">
        <v>134</v>
      </c>
      <c r="C33" s="166">
        <v>106541</v>
      </c>
      <c r="D33" s="166">
        <v>43884</v>
      </c>
      <c r="E33" s="166">
        <v>147837</v>
      </c>
      <c r="F33" s="166">
        <v>187523</v>
      </c>
      <c r="G33" s="166">
        <v>166807</v>
      </c>
      <c r="H33" s="166">
        <v>155413</v>
      </c>
      <c r="I33" s="167">
        <f t="shared" si="6"/>
        <v>-6.8306485938839479E-2</v>
      </c>
      <c r="J33" s="166">
        <f t="shared" si="5"/>
        <v>-11394</v>
      </c>
      <c r="K33" s="167">
        <f t="shared" si="7"/>
        <v>4.4431214668667635E-3</v>
      </c>
      <c r="L33" s="81"/>
    </row>
    <row r="34" spans="1:12" x14ac:dyDescent="0.25">
      <c r="A34" s="164" t="s">
        <v>148</v>
      </c>
      <c r="B34" s="170" t="s">
        <v>148</v>
      </c>
      <c r="C34" s="171">
        <f t="shared" ref="C34" si="8">C26-SUM(C27:C33)</f>
        <v>723011</v>
      </c>
      <c r="D34" s="171">
        <f t="shared" ref="D34:H34" si="9">D26-SUM(D27:D33)</f>
        <v>1251344</v>
      </c>
      <c r="E34" s="171">
        <f t="shared" si="9"/>
        <v>2432177</v>
      </c>
      <c r="F34" s="171">
        <f t="shared" si="9"/>
        <v>2739388</v>
      </c>
      <c r="G34" s="171">
        <f t="shared" si="9"/>
        <v>2915411</v>
      </c>
      <c r="H34" s="171">
        <f t="shared" si="9"/>
        <v>2814324</v>
      </c>
      <c r="I34" s="172">
        <f t="shared" si="6"/>
        <v>-3.4673327362762962E-2</v>
      </c>
      <c r="J34" s="171">
        <f>H34-G34</f>
        <v>-101087</v>
      </c>
      <c r="K34" s="172">
        <f t="shared" si="7"/>
        <v>8.0459056701294857E-2</v>
      </c>
      <c r="L34" s="81"/>
    </row>
    <row r="35" spans="1:12" s="148" customFormat="1" x14ac:dyDescent="0.25">
      <c r="A35" s="164"/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</row>
    <row r="36" spans="1:12" x14ac:dyDescent="0.25">
      <c r="A36" s="164"/>
      <c r="B36" s="158" t="s">
        <v>71</v>
      </c>
      <c r="C36" s="178">
        <v>2735482</v>
      </c>
      <c r="D36" s="178">
        <v>3367162</v>
      </c>
      <c r="E36" s="178">
        <v>8865243</v>
      </c>
      <c r="F36" s="178">
        <v>9740327</v>
      </c>
      <c r="G36" s="178">
        <v>10013119</v>
      </c>
      <c r="H36" s="178">
        <v>9994134</v>
      </c>
      <c r="I36" s="179">
        <f>IFERROR(H36/G36-1,"-")</f>
        <v>-1.8960126210424422E-3</v>
      </c>
      <c r="J36" s="178">
        <f>H36-G36</f>
        <v>-18985</v>
      </c>
      <c r="K36" s="179">
        <f>H36/H$8</f>
        <v>0.28572353225369174</v>
      </c>
      <c r="L36" s="81"/>
    </row>
    <row r="37" spans="1:12" x14ac:dyDescent="0.25">
      <c r="A37" s="164" t="s">
        <v>99</v>
      </c>
      <c r="B37" s="161" t="s">
        <v>100</v>
      </c>
      <c r="C37" s="162">
        <v>222488</v>
      </c>
      <c r="D37" s="162">
        <v>350874</v>
      </c>
      <c r="E37" s="162">
        <v>513218</v>
      </c>
      <c r="F37" s="162">
        <v>578106</v>
      </c>
      <c r="G37" s="162">
        <v>549885</v>
      </c>
      <c r="H37" s="162">
        <v>574109</v>
      </c>
      <c r="I37" s="163">
        <f>IFERROR(H37/G37-1,"-")</f>
        <v>4.40528474135502E-2</v>
      </c>
      <c r="J37" s="162">
        <f t="shared" ref="J37:J47" si="10">H37-G37</f>
        <v>24224</v>
      </c>
      <c r="K37" s="163">
        <f>H37/H$8</f>
        <v>1.6413273163901416E-2</v>
      </c>
      <c r="L37" s="81"/>
    </row>
    <row r="38" spans="1:12" x14ac:dyDescent="0.25">
      <c r="A38" s="164" t="s">
        <v>106</v>
      </c>
      <c r="B38" s="165" t="s">
        <v>106</v>
      </c>
      <c r="C38" s="166">
        <v>87809</v>
      </c>
      <c r="D38" s="166">
        <v>131066</v>
      </c>
      <c r="E38" s="166">
        <v>155108</v>
      </c>
      <c r="F38" s="166">
        <v>219792</v>
      </c>
      <c r="G38" s="166">
        <v>237231</v>
      </c>
      <c r="H38" s="166">
        <v>221651</v>
      </c>
      <c r="I38" s="167">
        <f>IFERROR(H38/G38-1,"-")</f>
        <v>-6.5674384882245529E-2</v>
      </c>
      <c r="J38" s="166">
        <f t="shared" si="10"/>
        <v>-15580</v>
      </c>
      <c r="K38" s="167">
        <f>H38/H$8</f>
        <v>6.3368078362330375E-3</v>
      </c>
      <c r="L38" s="81"/>
    </row>
    <row r="39" spans="1:12" x14ac:dyDescent="0.25">
      <c r="A39" s="164" t="s">
        <v>103</v>
      </c>
      <c r="B39" s="165" t="s">
        <v>103</v>
      </c>
      <c r="C39" s="166">
        <v>134679</v>
      </c>
      <c r="D39" s="166">
        <v>219808</v>
      </c>
      <c r="E39" s="166">
        <v>358110</v>
      </c>
      <c r="F39" s="166">
        <v>358314</v>
      </c>
      <c r="G39" s="166">
        <v>312654</v>
      </c>
      <c r="H39" s="166">
        <v>352458</v>
      </c>
      <c r="I39" s="167">
        <f>IFERROR(H39/G39-1,"-")</f>
        <v>0.12731006160164271</v>
      </c>
      <c r="J39" s="166">
        <f t="shared" si="10"/>
        <v>39804</v>
      </c>
      <c r="K39" s="167">
        <f>H39/H$8</f>
        <v>1.007646532766838E-2</v>
      </c>
      <c r="L39" s="81"/>
    </row>
    <row r="40" spans="1:12" x14ac:dyDescent="0.25">
      <c r="A40" s="164"/>
      <c r="B40" s="161" t="s">
        <v>110</v>
      </c>
      <c r="C40" s="162">
        <v>2512994</v>
      </c>
      <c r="D40" s="162">
        <v>3016288</v>
      </c>
      <c r="E40" s="162">
        <v>8352025</v>
      </c>
      <c r="F40" s="162">
        <v>9162221</v>
      </c>
      <c r="G40" s="162">
        <v>9463234</v>
      </c>
      <c r="H40" s="162">
        <v>9420025</v>
      </c>
      <c r="I40" s="163">
        <f>IFERROR(H40/G40-1,"-")</f>
        <v>-4.5659866383944703E-3</v>
      </c>
      <c r="J40" s="162">
        <f t="shared" si="10"/>
        <v>-43209</v>
      </c>
      <c r="K40" s="163">
        <f>H40/H$8</f>
        <v>0.26931025908979034</v>
      </c>
      <c r="L40" s="81"/>
    </row>
    <row r="41" spans="1:12" s="58" customFormat="1" x14ac:dyDescent="0.25">
      <c r="A41" s="164"/>
      <c r="B41" s="165" t="s">
        <v>113</v>
      </c>
      <c r="C41" s="166">
        <v>1123413</v>
      </c>
      <c r="D41" s="166">
        <v>1066343</v>
      </c>
      <c r="E41" s="166">
        <v>4256430</v>
      </c>
      <c r="F41" s="166">
        <v>4628132</v>
      </c>
      <c r="G41" s="166">
        <v>4858902</v>
      </c>
      <c r="H41" s="166">
        <v>4850627</v>
      </c>
      <c r="I41" s="167">
        <f t="shared" ref="I41:I48" si="11">IFERROR(H41/G41-1,"-")</f>
        <v>-1.7030596624504346E-3</v>
      </c>
      <c r="J41" s="166">
        <f t="shared" si="10"/>
        <v>-8275</v>
      </c>
      <c r="K41" s="167">
        <f t="shared" ref="K41:K48" si="12">H41/H$8</f>
        <v>0.13867517486608927</v>
      </c>
      <c r="L41" s="168"/>
    </row>
    <row r="42" spans="1:12" s="58" customFormat="1" x14ac:dyDescent="0.25">
      <c r="A42" s="164"/>
      <c r="B42" s="165" t="s">
        <v>116</v>
      </c>
      <c r="C42" s="166">
        <v>132792</v>
      </c>
      <c r="D42" s="166">
        <v>174981</v>
      </c>
      <c r="E42" s="166">
        <v>311196</v>
      </c>
      <c r="F42" s="166">
        <v>358364</v>
      </c>
      <c r="G42" s="166">
        <v>358116</v>
      </c>
      <c r="H42" s="166">
        <v>376020</v>
      </c>
      <c r="I42" s="167">
        <f t="shared" si="11"/>
        <v>4.9994973695673961E-2</v>
      </c>
      <c r="J42" s="166">
        <f t="shared" si="10"/>
        <v>17904</v>
      </c>
      <c r="K42" s="167">
        <f t="shared" si="12"/>
        <v>1.0750082258055894E-2</v>
      </c>
      <c r="L42" s="168"/>
    </row>
    <row r="43" spans="1:12" x14ac:dyDescent="0.25">
      <c r="A43" s="164"/>
      <c r="B43" s="165" t="s">
        <v>119</v>
      </c>
      <c r="C43" s="166">
        <v>66140</v>
      </c>
      <c r="D43" s="166">
        <v>127385</v>
      </c>
      <c r="E43" s="166">
        <v>198903</v>
      </c>
      <c r="F43" s="166">
        <v>247768</v>
      </c>
      <c r="G43" s="166">
        <v>245648</v>
      </c>
      <c r="H43" s="166">
        <v>247430</v>
      </c>
      <c r="I43" s="167">
        <f t="shared" si="11"/>
        <v>7.2542825506416442E-3</v>
      </c>
      <c r="J43" s="166">
        <f t="shared" si="10"/>
        <v>1782</v>
      </c>
      <c r="K43" s="167">
        <f t="shared" si="12"/>
        <v>7.0738068536534485E-3</v>
      </c>
      <c r="L43" s="81"/>
    </row>
    <row r="44" spans="1:12" x14ac:dyDescent="0.25">
      <c r="A44" s="164"/>
      <c r="B44" s="165" t="s">
        <v>126</v>
      </c>
      <c r="C44" s="166">
        <v>111688</v>
      </c>
      <c r="D44" s="166">
        <v>239923</v>
      </c>
      <c r="E44" s="166">
        <v>477050</v>
      </c>
      <c r="F44" s="166">
        <v>501092</v>
      </c>
      <c r="G44" s="166">
        <v>499671</v>
      </c>
      <c r="H44" s="166">
        <v>464546</v>
      </c>
      <c r="I44" s="167">
        <f t="shared" si="11"/>
        <v>-7.029625493574776E-2</v>
      </c>
      <c r="J44" s="166">
        <f t="shared" si="10"/>
        <v>-35125</v>
      </c>
      <c r="K44" s="167">
        <f t="shared" si="12"/>
        <v>1.328096301433656E-2</v>
      </c>
      <c r="L44" s="81"/>
    </row>
    <row r="45" spans="1:12" x14ac:dyDescent="0.25">
      <c r="A45" s="164"/>
      <c r="B45" s="165" t="s">
        <v>122</v>
      </c>
      <c r="C45" s="166">
        <v>124783</v>
      </c>
      <c r="D45" s="166">
        <v>184201</v>
      </c>
      <c r="E45" s="166">
        <v>318686</v>
      </c>
      <c r="F45" s="166">
        <v>374926</v>
      </c>
      <c r="G45" s="166">
        <v>372782</v>
      </c>
      <c r="H45" s="166">
        <v>338874</v>
      </c>
      <c r="I45" s="167">
        <f t="shared" si="11"/>
        <v>-9.0959327435337523E-2</v>
      </c>
      <c r="J45" s="166">
        <f t="shared" si="10"/>
        <v>-33908</v>
      </c>
      <c r="K45" s="167">
        <f t="shared" si="12"/>
        <v>9.6881106726143095E-3</v>
      </c>
      <c r="L45" s="81"/>
    </row>
    <row r="46" spans="1:12" x14ac:dyDescent="0.25">
      <c r="A46" s="164"/>
      <c r="B46" s="165" t="s">
        <v>131</v>
      </c>
      <c r="C46" s="166">
        <v>86530</v>
      </c>
      <c r="D46" s="166">
        <v>81833</v>
      </c>
      <c r="E46" s="166">
        <v>185692</v>
      </c>
      <c r="F46" s="166">
        <v>188338</v>
      </c>
      <c r="G46" s="166">
        <v>187108</v>
      </c>
      <c r="H46" s="166">
        <v>188541</v>
      </c>
      <c r="I46" s="167">
        <f t="shared" si="11"/>
        <v>7.6586784103298555E-3</v>
      </c>
      <c r="J46" s="166">
        <f t="shared" si="10"/>
        <v>1433</v>
      </c>
      <c r="K46" s="167">
        <f t="shared" si="12"/>
        <v>5.3902219536623485E-3</v>
      </c>
      <c r="L46" s="81"/>
    </row>
    <row r="47" spans="1:12" x14ac:dyDescent="0.25">
      <c r="A47" s="164" t="s">
        <v>147</v>
      </c>
      <c r="B47" s="165" t="s">
        <v>134</v>
      </c>
      <c r="C47" s="166">
        <v>149965</v>
      </c>
      <c r="D47" s="166">
        <v>88248</v>
      </c>
      <c r="E47" s="166">
        <v>188228</v>
      </c>
      <c r="F47" s="166">
        <v>224522</v>
      </c>
      <c r="G47" s="166">
        <v>217369</v>
      </c>
      <c r="H47" s="166">
        <v>187855</v>
      </c>
      <c r="I47" s="167">
        <f t="shared" si="11"/>
        <v>-0.13577833085674595</v>
      </c>
      <c r="J47" s="166">
        <f t="shared" si="10"/>
        <v>-29514</v>
      </c>
      <c r="K47" s="167">
        <f t="shared" si="12"/>
        <v>5.3706098148691289E-3</v>
      </c>
      <c r="L47" s="81"/>
    </row>
    <row r="48" spans="1:12" x14ac:dyDescent="0.25">
      <c r="A48" s="164" t="s">
        <v>148</v>
      </c>
      <c r="B48" s="170" t="s">
        <v>148</v>
      </c>
      <c r="C48" s="171">
        <f t="shared" ref="C48" si="13">C40-SUM(C41:C47)</f>
        <v>717683</v>
      </c>
      <c r="D48" s="171">
        <f t="shared" ref="D48:H48" si="14">D40-SUM(D41:D47)</f>
        <v>1053374</v>
      </c>
      <c r="E48" s="171">
        <f t="shared" si="14"/>
        <v>2415840</v>
      </c>
      <c r="F48" s="171">
        <f t="shared" si="14"/>
        <v>2639079</v>
      </c>
      <c r="G48" s="171">
        <f t="shared" si="14"/>
        <v>2723638</v>
      </c>
      <c r="H48" s="171">
        <f t="shared" si="14"/>
        <v>2766132</v>
      </c>
      <c r="I48" s="172">
        <f t="shared" si="11"/>
        <v>1.5601926540898647E-2</v>
      </c>
      <c r="J48" s="171">
        <f>H48-G48</f>
        <v>42494</v>
      </c>
      <c r="K48" s="172">
        <f t="shared" si="12"/>
        <v>7.9081289656509401E-2</v>
      </c>
      <c r="L48" s="81"/>
    </row>
    <row r="49" spans="1:12" s="148" customFormat="1" x14ac:dyDescent="0.25">
      <c r="A49" s="164"/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</row>
    <row r="50" spans="1:12" x14ac:dyDescent="0.25">
      <c r="A50" s="164"/>
      <c r="B50" s="158" t="s">
        <v>71</v>
      </c>
      <c r="C50" s="178">
        <v>64896</v>
      </c>
      <c r="D50" s="178">
        <v>98762</v>
      </c>
      <c r="E50" s="178">
        <v>168339</v>
      </c>
      <c r="F50" s="178">
        <v>182130</v>
      </c>
      <c r="G50" s="178">
        <v>192892</v>
      </c>
      <c r="H50" s="178">
        <v>197469</v>
      </c>
      <c r="I50" s="179">
        <f>IFERROR(H50/G50-1,"-")</f>
        <v>2.3728303921365379E-2</v>
      </c>
      <c r="J50" s="178">
        <f>H50-G50</f>
        <v>4577</v>
      </c>
      <c r="K50" s="179">
        <f>H50/H$8</f>
        <v>5.6454656492102529E-3</v>
      </c>
      <c r="L50" s="81"/>
    </row>
    <row r="51" spans="1:12" x14ac:dyDescent="0.25">
      <c r="A51" s="164" t="s">
        <v>99</v>
      </c>
      <c r="B51" s="161" t="s">
        <v>100</v>
      </c>
      <c r="C51" s="162">
        <v>6928</v>
      </c>
      <c r="D51" s="162">
        <v>17286</v>
      </c>
      <c r="E51" s="162">
        <v>21218</v>
      </c>
      <c r="F51" s="162">
        <v>40330</v>
      </c>
      <c r="G51" s="162">
        <v>27801</v>
      </c>
      <c r="H51" s="162">
        <v>27015</v>
      </c>
      <c r="I51" s="163">
        <f>IFERROR(H51/G51-1,"-")</f>
        <v>-2.8272364303442377E-2</v>
      </c>
      <c r="J51" s="162">
        <f t="shared" ref="J51:J61" si="15">H51-G51</f>
        <v>-786</v>
      </c>
      <c r="K51" s="163">
        <f>H51/H$8</f>
        <v>7.7233517419653195E-4</v>
      </c>
      <c r="L51" s="81"/>
    </row>
    <row r="52" spans="1:12" x14ac:dyDescent="0.25">
      <c r="A52" s="164" t="s">
        <v>106</v>
      </c>
      <c r="B52" s="165" t="s">
        <v>106</v>
      </c>
      <c r="C52" s="166">
        <v>4981</v>
      </c>
      <c r="D52" s="166">
        <v>6990</v>
      </c>
      <c r="E52" s="166">
        <v>6990</v>
      </c>
      <c r="F52" s="166">
        <v>25259</v>
      </c>
      <c r="G52" s="166">
        <v>15307</v>
      </c>
      <c r="H52" s="166">
        <v>13767</v>
      </c>
      <c r="I52" s="167">
        <f>IFERROR(H52/G52-1,"-")</f>
        <v>-0.10060756516626379</v>
      </c>
      <c r="J52" s="166">
        <f t="shared" si="15"/>
        <v>-1540</v>
      </c>
      <c r="K52" s="167">
        <f>H52/H$8</f>
        <v>3.9358646467383513E-4</v>
      </c>
      <c r="L52" s="81"/>
    </row>
    <row r="53" spans="1:12" x14ac:dyDescent="0.25">
      <c r="A53" s="164" t="s">
        <v>103</v>
      </c>
      <c r="B53" s="165" t="s">
        <v>103</v>
      </c>
      <c r="C53" s="166">
        <v>1947</v>
      </c>
      <c r="D53" s="166">
        <v>10296</v>
      </c>
      <c r="E53" s="166">
        <v>14228</v>
      </c>
      <c r="F53" s="166">
        <v>15071</v>
      </c>
      <c r="G53" s="166">
        <v>12494</v>
      </c>
      <c r="H53" s="166">
        <v>13248</v>
      </c>
      <c r="I53" s="167">
        <f>IFERROR(H53/G53-1,"-")</f>
        <v>6.0348967504402218E-2</v>
      </c>
      <c r="J53" s="166">
        <f t="shared" si="15"/>
        <v>754</v>
      </c>
      <c r="K53" s="167">
        <f>H53/H$8</f>
        <v>3.7874870952269688E-4</v>
      </c>
      <c r="L53" s="81"/>
    </row>
    <row r="54" spans="1:12" x14ac:dyDescent="0.25">
      <c r="A54" s="164"/>
      <c r="B54" s="161" t="s">
        <v>110</v>
      </c>
      <c r="C54" s="162">
        <v>57968</v>
      </c>
      <c r="D54" s="162">
        <v>81476</v>
      </c>
      <c r="E54" s="162">
        <v>147121</v>
      </c>
      <c r="F54" s="162">
        <v>141800</v>
      </c>
      <c r="G54" s="162">
        <v>165091</v>
      </c>
      <c r="H54" s="162">
        <v>170454</v>
      </c>
      <c r="I54" s="163">
        <f>IFERROR(H54/G54-1,"-")</f>
        <v>3.2485114270311533E-2</v>
      </c>
      <c r="J54" s="162">
        <f t="shared" si="15"/>
        <v>5363</v>
      </c>
      <c r="K54" s="163">
        <f>H54/H$8</f>
        <v>4.8731304750137209E-3</v>
      </c>
      <c r="L54" s="81"/>
    </row>
    <row r="55" spans="1:12" s="58" customFormat="1" x14ac:dyDescent="0.25">
      <c r="A55" s="164"/>
      <c r="B55" s="165" t="s">
        <v>113</v>
      </c>
      <c r="C55" s="166">
        <v>19732</v>
      </c>
      <c r="D55" s="166">
        <v>20693</v>
      </c>
      <c r="E55" s="166">
        <v>65122</v>
      </c>
      <c r="F55" s="166">
        <v>55484</v>
      </c>
      <c r="G55" s="166">
        <v>69307</v>
      </c>
      <c r="H55" s="166">
        <v>68352</v>
      </c>
      <c r="I55" s="167">
        <f t="shared" ref="I55:I62" si="16">IFERROR(H55/G55-1,"-")</f>
        <v>-1.3779271935013826E-2</v>
      </c>
      <c r="J55" s="166">
        <f t="shared" si="15"/>
        <v>-955</v>
      </c>
      <c r="K55" s="167">
        <f t="shared" ref="K55:K62" si="17">H55/H$8</f>
        <v>1.9541237766678272E-3</v>
      </c>
      <c r="L55" s="168"/>
    </row>
    <row r="56" spans="1:12" s="58" customFormat="1" x14ac:dyDescent="0.25">
      <c r="A56" s="164"/>
      <c r="B56" s="165" t="s">
        <v>116</v>
      </c>
      <c r="C56" s="166">
        <v>18588</v>
      </c>
      <c r="D56" s="166">
        <v>31230</v>
      </c>
      <c r="E56" s="166">
        <v>34084</v>
      </c>
      <c r="F56" s="166">
        <v>34465</v>
      </c>
      <c r="G56" s="166">
        <v>35877</v>
      </c>
      <c r="H56" s="166">
        <v>40468</v>
      </c>
      <c r="I56" s="167">
        <f t="shared" si="16"/>
        <v>0.12796499149873175</v>
      </c>
      <c r="J56" s="166">
        <f t="shared" si="15"/>
        <v>4591</v>
      </c>
      <c r="K56" s="167">
        <f t="shared" si="17"/>
        <v>1.1569446540583104E-3</v>
      </c>
      <c r="L56" s="168"/>
    </row>
    <row r="57" spans="1:12" x14ac:dyDescent="0.25">
      <c r="A57" s="164"/>
      <c r="B57" s="165" t="s">
        <v>119</v>
      </c>
      <c r="C57" s="166">
        <v>1474</v>
      </c>
      <c r="D57" s="166">
        <v>3873</v>
      </c>
      <c r="E57" s="166">
        <v>6397</v>
      </c>
      <c r="F57" s="166">
        <v>6784</v>
      </c>
      <c r="G57" s="166">
        <v>6789</v>
      </c>
      <c r="H57" s="166">
        <v>7322</v>
      </c>
      <c r="I57" s="167">
        <f t="shared" si="16"/>
        <v>7.850935336573861E-2</v>
      </c>
      <c r="J57" s="166">
        <f t="shared" si="15"/>
        <v>533</v>
      </c>
      <c r="K57" s="167">
        <f t="shared" si="17"/>
        <v>2.0932956303783111E-4</v>
      </c>
      <c r="L57" s="81"/>
    </row>
    <row r="58" spans="1:12" x14ac:dyDescent="0.25">
      <c r="A58" s="164"/>
      <c r="B58" s="165" t="s">
        <v>126</v>
      </c>
      <c r="C58" s="166">
        <v>975</v>
      </c>
      <c r="D58" s="166">
        <v>2191</v>
      </c>
      <c r="E58" s="166">
        <v>3053</v>
      </c>
      <c r="F58" s="166">
        <v>2811</v>
      </c>
      <c r="G58" s="166">
        <v>4663</v>
      </c>
      <c r="H58" s="166">
        <v>4996</v>
      </c>
      <c r="I58" s="167">
        <f t="shared" si="16"/>
        <v>7.1413253270426802E-2</v>
      </c>
      <c r="J58" s="166">
        <f t="shared" si="15"/>
        <v>333</v>
      </c>
      <c r="K58" s="167">
        <f t="shared" si="17"/>
        <v>1.4283126153195904E-4</v>
      </c>
      <c r="L58" s="81"/>
    </row>
    <row r="59" spans="1:12" x14ac:dyDescent="0.25">
      <c r="A59" s="164"/>
      <c r="B59" s="165" t="s">
        <v>122</v>
      </c>
      <c r="C59" s="166">
        <v>1083</v>
      </c>
      <c r="D59" s="166">
        <v>1459</v>
      </c>
      <c r="E59" s="166">
        <v>2254</v>
      </c>
      <c r="F59" s="166">
        <v>2628</v>
      </c>
      <c r="G59" s="166">
        <v>2985</v>
      </c>
      <c r="H59" s="166">
        <v>3168</v>
      </c>
      <c r="I59" s="167">
        <f t="shared" si="16"/>
        <v>6.1306532663316649E-2</v>
      </c>
      <c r="J59" s="166">
        <f t="shared" si="15"/>
        <v>183</v>
      </c>
      <c r="K59" s="167">
        <f t="shared" si="17"/>
        <v>9.0570343581514471E-5</v>
      </c>
      <c r="L59" s="81"/>
    </row>
    <row r="60" spans="1:12" x14ac:dyDescent="0.25">
      <c r="A60" s="164"/>
      <c r="B60" s="165" t="s">
        <v>131</v>
      </c>
      <c r="C60" s="166">
        <v>713</v>
      </c>
      <c r="D60" s="166">
        <v>445</v>
      </c>
      <c r="E60" s="166">
        <v>554</v>
      </c>
      <c r="F60" s="166">
        <v>804</v>
      </c>
      <c r="G60" s="166">
        <v>604</v>
      </c>
      <c r="H60" s="166">
        <v>842</v>
      </c>
      <c r="I60" s="167">
        <f t="shared" si="16"/>
        <v>0.39403973509933765</v>
      </c>
      <c r="J60" s="166">
        <f t="shared" si="15"/>
        <v>238</v>
      </c>
      <c r="K60" s="167">
        <f t="shared" si="17"/>
        <v>2.4072042075642418E-5</v>
      </c>
      <c r="L60" s="81"/>
    </row>
    <row r="61" spans="1:12" x14ac:dyDescent="0.25">
      <c r="A61" s="164" t="s">
        <v>147</v>
      </c>
      <c r="B61" s="165" t="s">
        <v>134</v>
      </c>
      <c r="C61" s="166">
        <v>1528</v>
      </c>
      <c r="D61" s="166">
        <v>432</v>
      </c>
      <c r="E61" s="166">
        <v>418</v>
      </c>
      <c r="F61" s="166">
        <v>635</v>
      </c>
      <c r="G61" s="166">
        <v>647</v>
      </c>
      <c r="H61" s="166">
        <v>1265</v>
      </c>
      <c r="I61" s="167">
        <f t="shared" si="16"/>
        <v>0.95517774343122097</v>
      </c>
      <c r="J61" s="166">
        <f t="shared" si="15"/>
        <v>618</v>
      </c>
      <c r="K61" s="167">
        <f t="shared" si="17"/>
        <v>3.6165241360674181E-5</v>
      </c>
      <c r="L61" s="81"/>
    </row>
    <row r="62" spans="1:12" x14ac:dyDescent="0.25">
      <c r="A62" s="164" t="s">
        <v>148</v>
      </c>
      <c r="B62" s="170" t="s">
        <v>148</v>
      </c>
      <c r="C62" s="171">
        <f t="shared" ref="C62" si="18">C54-SUM(C55:C61)</f>
        <v>13875</v>
      </c>
      <c r="D62" s="171">
        <f t="shared" ref="D62:H62" si="19">D54-SUM(D55:D61)</f>
        <v>21153</v>
      </c>
      <c r="E62" s="171">
        <f t="shared" si="19"/>
        <v>35239</v>
      </c>
      <c r="F62" s="171">
        <f t="shared" si="19"/>
        <v>38189</v>
      </c>
      <c r="G62" s="171">
        <f t="shared" si="19"/>
        <v>44219</v>
      </c>
      <c r="H62" s="171">
        <f t="shared" si="19"/>
        <v>44041</v>
      </c>
      <c r="I62" s="172">
        <f t="shared" si="16"/>
        <v>-4.0254189375608096E-3</v>
      </c>
      <c r="J62" s="171">
        <f>H62-G62</f>
        <v>-178</v>
      </c>
      <c r="K62" s="172">
        <f t="shared" si="17"/>
        <v>1.2590935926999618E-3</v>
      </c>
      <c r="L62" s="81"/>
    </row>
    <row r="63" spans="1:12" s="148" customFormat="1" x14ac:dyDescent="0.25">
      <c r="A63" s="164"/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</row>
    <row r="64" spans="1:12" x14ac:dyDescent="0.25">
      <c r="A64" s="164"/>
      <c r="B64" s="158" t="s">
        <v>71</v>
      </c>
      <c r="C64" s="178">
        <v>287353</v>
      </c>
      <c r="D64" s="178">
        <v>419370</v>
      </c>
      <c r="E64" s="178">
        <v>1014697</v>
      </c>
      <c r="F64" s="178">
        <v>988170</v>
      </c>
      <c r="G64" s="178">
        <v>1361415</v>
      </c>
      <c r="H64" s="178">
        <v>1103359</v>
      </c>
      <c r="I64" s="179">
        <f>IFERROR(H64/G64-1,"-")</f>
        <v>-0.1895498433615026</v>
      </c>
      <c r="J64" s="178">
        <f>H64-G64</f>
        <v>-258056</v>
      </c>
      <c r="K64" s="179">
        <f>H64/H$8</f>
        <v>3.1544066831993754E-2</v>
      </c>
      <c r="L64" s="81"/>
    </row>
    <row r="65" spans="1:12" x14ac:dyDescent="0.25">
      <c r="A65" s="164" t="s">
        <v>99</v>
      </c>
      <c r="B65" s="161" t="s">
        <v>100</v>
      </c>
      <c r="C65" s="162">
        <v>79457</v>
      </c>
      <c r="D65" s="162">
        <v>83752</v>
      </c>
      <c r="E65" s="162">
        <v>119256</v>
      </c>
      <c r="F65" s="162">
        <v>161549</v>
      </c>
      <c r="G65" s="162">
        <v>256345</v>
      </c>
      <c r="H65" s="162">
        <v>183698</v>
      </c>
      <c r="I65" s="163">
        <f>IFERROR(H65/G65-1,"-")</f>
        <v>-0.2833954241354425</v>
      </c>
      <c r="J65" s="162">
        <f t="shared" ref="J65:J75" si="20">H65-G65</f>
        <v>-72647</v>
      </c>
      <c r="K65" s="163">
        <f>H65/H$8</f>
        <v>5.251764828041996E-3</v>
      </c>
      <c r="L65" s="81"/>
    </row>
    <row r="66" spans="1:12" x14ac:dyDescent="0.25">
      <c r="A66" s="164" t="s">
        <v>106</v>
      </c>
      <c r="B66" s="165" t="s">
        <v>106</v>
      </c>
      <c r="C66" s="166">
        <v>21784</v>
      </c>
      <c r="D66" s="166">
        <v>59324</v>
      </c>
      <c r="E66" s="166">
        <v>72718</v>
      </c>
      <c r="F66" s="166">
        <v>83853</v>
      </c>
      <c r="G66" s="166">
        <v>124261</v>
      </c>
      <c r="H66" s="166">
        <v>45282</v>
      </c>
      <c r="I66" s="167">
        <f>IFERROR(H66/G66-1,"-")</f>
        <v>-0.63558960574918921</v>
      </c>
      <c r="J66" s="166">
        <f t="shared" si="20"/>
        <v>-78979</v>
      </c>
      <c r="K66" s="167">
        <f>H66/H$8</f>
        <v>1.2945726950941094E-3</v>
      </c>
      <c r="L66" s="81"/>
    </row>
    <row r="67" spans="1:12" x14ac:dyDescent="0.25">
      <c r="A67" s="164" t="s">
        <v>103</v>
      </c>
      <c r="B67" s="165" t="s">
        <v>103</v>
      </c>
      <c r="C67" s="166">
        <v>57673</v>
      </c>
      <c r="D67" s="166">
        <v>24428</v>
      </c>
      <c r="E67" s="166">
        <v>46538</v>
      </c>
      <c r="F67" s="166">
        <v>77696</v>
      </c>
      <c r="G67" s="166">
        <v>132084</v>
      </c>
      <c r="H67" s="166">
        <v>138416</v>
      </c>
      <c r="I67" s="167">
        <f>IFERROR(H67/G67-1,"-")</f>
        <v>4.7939190212289207E-2</v>
      </c>
      <c r="J67" s="166">
        <f t="shared" si="20"/>
        <v>6332</v>
      </c>
      <c r="K67" s="167">
        <f>H67/H$8</f>
        <v>3.9571921329478871E-3</v>
      </c>
      <c r="L67" s="81"/>
    </row>
    <row r="68" spans="1:12" x14ac:dyDescent="0.25">
      <c r="A68" s="164"/>
      <c r="B68" s="161" t="s">
        <v>110</v>
      </c>
      <c r="C68" s="162">
        <v>207896</v>
      </c>
      <c r="D68" s="162">
        <v>335618</v>
      </c>
      <c r="E68" s="162">
        <v>895441</v>
      </c>
      <c r="F68" s="162">
        <v>826621</v>
      </c>
      <c r="G68" s="162">
        <v>1105070</v>
      </c>
      <c r="H68" s="162">
        <v>919661</v>
      </c>
      <c r="I68" s="163">
        <f>IFERROR(H68/G68-1,"-")</f>
        <v>-0.16778032160858591</v>
      </c>
      <c r="J68" s="162">
        <f t="shared" si="20"/>
        <v>-185409</v>
      </c>
      <c r="K68" s="163">
        <f>H68/H$8</f>
        <v>2.6292302003951759E-2</v>
      </c>
      <c r="L68" s="81"/>
    </row>
    <row r="69" spans="1:12" s="58" customFormat="1" x14ac:dyDescent="0.25">
      <c r="A69" s="164"/>
      <c r="B69" s="165" t="s">
        <v>113</v>
      </c>
      <c r="C69" s="166">
        <v>92532</v>
      </c>
      <c r="D69" s="166">
        <v>85414</v>
      </c>
      <c r="E69" s="166">
        <v>399420</v>
      </c>
      <c r="F69" s="166">
        <v>314964</v>
      </c>
      <c r="G69" s="166">
        <v>454766</v>
      </c>
      <c r="H69" s="166">
        <v>443504</v>
      </c>
      <c r="I69" s="167">
        <f t="shared" ref="I69:I76" si="21">IFERROR(H69/G69-1,"-")</f>
        <v>-2.4764384320727584E-2</v>
      </c>
      <c r="J69" s="166">
        <f t="shared" si="20"/>
        <v>-11262</v>
      </c>
      <c r="K69" s="167">
        <f t="shared" ref="K69:K76" si="22">H69/H$8</f>
        <v>1.2679390675434341E-2</v>
      </c>
      <c r="L69" s="168"/>
    </row>
    <row r="70" spans="1:12" s="58" customFormat="1" x14ac:dyDescent="0.25">
      <c r="A70" s="164"/>
      <c r="B70" s="165" t="s">
        <v>116</v>
      </c>
      <c r="C70" s="166">
        <v>26880</v>
      </c>
      <c r="D70" s="166">
        <v>36140</v>
      </c>
      <c r="E70" s="166">
        <v>56705</v>
      </c>
      <c r="F70" s="166">
        <v>89781</v>
      </c>
      <c r="G70" s="166">
        <v>78559</v>
      </c>
      <c r="H70" s="166">
        <v>77139</v>
      </c>
      <c r="I70" s="167">
        <f t="shared" si="21"/>
        <v>-1.8075586501864804E-2</v>
      </c>
      <c r="J70" s="166">
        <f t="shared" si="20"/>
        <v>-1420</v>
      </c>
      <c r="K70" s="167">
        <f t="shared" si="22"/>
        <v>2.2053364057873876E-3</v>
      </c>
      <c r="L70" s="168"/>
    </row>
    <row r="71" spans="1:12" x14ac:dyDescent="0.25">
      <c r="A71" s="164"/>
      <c r="B71" s="165" t="s">
        <v>119</v>
      </c>
      <c r="C71" s="166">
        <v>21367</v>
      </c>
      <c r="D71" s="166">
        <v>44372</v>
      </c>
      <c r="E71" s="166">
        <v>126795</v>
      </c>
      <c r="F71" s="166">
        <v>98989</v>
      </c>
      <c r="G71" s="166">
        <v>131979</v>
      </c>
      <c r="H71" s="166">
        <v>66336</v>
      </c>
      <c r="I71" s="167">
        <f t="shared" si="21"/>
        <v>-0.49737458231991449</v>
      </c>
      <c r="J71" s="166">
        <f t="shared" si="20"/>
        <v>-65643</v>
      </c>
      <c r="K71" s="167">
        <f t="shared" si="22"/>
        <v>1.8964881034795908E-3</v>
      </c>
      <c r="L71" s="81"/>
    </row>
    <row r="72" spans="1:12" x14ac:dyDescent="0.25">
      <c r="A72" s="164"/>
      <c r="B72" s="165" t="s">
        <v>126</v>
      </c>
      <c r="C72" s="166">
        <v>3603</v>
      </c>
      <c r="D72" s="166">
        <v>28426</v>
      </c>
      <c r="E72" s="166">
        <v>25157</v>
      </c>
      <c r="F72" s="166">
        <v>25283</v>
      </c>
      <c r="G72" s="166">
        <v>47499</v>
      </c>
      <c r="H72" s="166">
        <v>39716</v>
      </c>
      <c r="I72" s="167">
        <f t="shared" si="21"/>
        <v>-0.16385608118065642</v>
      </c>
      <c r="J72" s="166">
        <f t="shared" si="20"/>
        <v>-7783</v>
      </c>
      <c r="K72" s="167">
        <f t="shared" si="22"/>
        <v>1.1354456331071428E-3</v>
      </c>
      <c r="L72" s="81"/>
    </row>
    <row r="73" spans="1:12" x14ac:dyDescent="0.25">
      <c r="A73" s="164"/>
      <c r="B73" s="165" t="s">
        <v>122</v>
      </c>
      <c r="C73" s="166">
        <v>8309</v>
      </c>
      <c r="D73" s="166">
        <v>16869</v>
      </c>
      <c r="E73" s="166">
        <v>22926</v>
      </c>
      <c r="F73" s="166">
        <v>14330</v>
      </c>
      <c r="G73" s="166">
        <v>27574</v>
      </c>
      <c r="H73" s="166">
        <v>19817</v>
      </c>
      <c r="I73" s="167">
        <f t="shared" si="21"/>
        <v>-0.28131573221150363</v>
      </c>
      <c r="J73" s="166">
        <f t="shared" si="20"/>
        <v>-7757</v>
      </c>
      <c r="K73" s="167">
        <f t="shared" si="22"/>
        <v>5.6655066248575514E-4</v>
      </c>
      <c r="L73" s="81"/>
    </row>
    <row r="74" spans="1:12" x14ac:dyDescent="0.25">
      <c r="A74" s="164"/>
      <c r="B74" s="165" t="s">
        <v>131</v>
      </c>
      <c r="C74" s="166">
        <v>5538</v>
      </c>
      <c r="D74" s="166">
        <v>14404</v>
      </c>
      <c r="E74" s="166">
        <v>20957</v>
      </c>
      <c r="F74" s="166">
        <v>26631</v>
      </c>
      <c r="G74" s="166">
        <v>24320</v>
      </c>
      <c r="H74" s="166">
        <v>16244</v>
      </c>
      <c r="I74" s="167">
        <f t="shared" si="21"/>
        <v>-0.33207236842105259</v>
      </c>
      <c r="J74" s="166">
        <f t="shared" si="20"/>
        <v>-8076</v>
      </c>
      <c r="K74" s="167">
        <f t="shared" si="22"/>
        <v>4.6440172384410388E-4</v>
      </c>
      <c r="L74" s="81"/>
    </row>
    <row r="75" spans="1:12" x14ac:dyDescent="0.25">
      <c r="A75" s="164" t="s">
        <v>147</v>
      </c>
      <c r="B75" s="165" t="s">
        <v>134</v>
      </c>
      <c r="C75" s="166">
        <v>5011</v>
      </c>
      <c r="D75" s="166">
        <v>1659</v>
      </c>
      <c r="E75" s="166">
        <v>6100</v>
      </c>
      <c r="F75" s="166">
        <v>7510</v>
      </c>
      <c r="G75" s="166">
        <v>21506</v>
      </c>
      <c r="H75" s="166">
        <v>24372</v>
      </c>
      <c r="I75" s="167">
        <f t="shared" si="21"/>
        <v>0.13326513531107609</v>
      </c>
      <c r="J75" s="166">
        <f t="shared" si="20"/>
        <v>2866</v>
      </c>
      <c r="K75" s="167">
        <f t="shared" si="22"/>
        <v>6.9677412050778739E-4</v>
      </c>
      <c r="L75" s="81"/>
    </row>
    <row r="76" spans="1:12" x14ac:dyDescent="0.25">
      <c r="A76" s="164" t="s">
        <v>148</v>
      </c>
      <c r="B76" s="170" t="s">
        <v>148</v>
      </c>
      <c r="C76" s="171">
        <f t="shared" ref="C76" si="23">C68-SUM(C69:C75)</f>
        <v>44656</v>
      </c>
      <c r="D76" s="171">
        <f t="shared" ref="D76:H76" si="24">D68-SUM(D69:D75)</f>
        <v>108334</v>
      </c>
      <c r="E76" s="171">
        <f t="shared" si="24"/>
        <v>237381</v>
      </c>
      <c r="F76" s="171">
        <f t="shared" si="24"/>
        <v>249133</v>
      </c>
      <c r="G76" s="171">
        <f t="shared" si="24"/>
        <v>318867</v>
      </c>
      <c r="H76" s="171">
        <f t="shared" si="24"/>
        <v>232533</v>
      </c>
      <c r="I76" s="172">
        <f t="shared" si="21"/>
        <v>-0.27075238265483725</v>
      </c>
      <c r="J76" s="171">
        <f>H76-G76</f>
        <v>-86334</v>
      </c>
      <c r="K76" s="172">
        <f t="shared" si="22"/>
        <v>6.6479146793056512E-3</v>
      </c>
      <c r="L76" s="81"/>
    </row>
    <row r="77" spans="1:12" s="148" customFormat="1" x14ac:dyDescent="0.25">
      <c r="A77" s="164"/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</row>
    <row r="78" spans="1:12" x14ac:dyDescent="0.25">
      <c r="A78" s="164"/>
      <c r="B78" s="158" t="s">
        <v>71</v>
      </c>
      <c r="C78" s="178">
        <v>1476435</v>
      </c>
      <c r="D78" s="178">
        <v>1967362</v>
      </c>
      <c r="E78" s="178">
        <v>4352393</v>
      </c>
      <c r="F78" s="178">
        <v>5136286</v>
      </c>
      <c r="G78" s="178">
        <v>5762502</v>
      </c>
      <c r="H78" s="178">
        <v>5666416</v>
      </c>
      <c r="I78" s="179">
        <f>IFERROR(H78/G78-1,"-")</f>
        <v>-1.6674354299573313E-2</v>
      </c>
      <c r="J78" s="178">
        <f>H78-G78</f>
        <v>-96086</v>
      </c>
      <c r="K78" s="179">
        <f>H78/H$8</f>
        <v>0.16199786742291378</v>
      </c>
      <c r="L78" s="81"/>
    </row>
    <row r="79" spans="1:12" x14ac:dyDescent="0.25">
      <c r="A79" s="164" t="s">
        <v>99</v>
      </c>
      <c r="B79" s="161" t="s">
        <v>100</v>
      </c>
      <c r="C79" s="162">
        <v>435854</v>
      </c>
      <c r="D79" s="162">
        <v>765462</v>
      </c>
      <c r="E79" s="162">
        <v>1656388</v>
      </c>
      <c r="F79" s="162">
        <v>1646973</v>
      </c>
      <c r="G79" s="162">
        <v>1680920</v>
      </c>
      <c r="H79" s="162">
        <v>1716393</v>
      </c>
      <c r="I79" s="163">
        <f>IFERROR(H79/G79-1,"-")</f>
        <v>2.1103324369987853E-2</v>
      </c>
      <c r="J79" s="162">
        <f t="shared" ref="J79:J89" si="25">H79-G79</f>
        <v>35473</v>
      </c>
      <c r="K79" s="163">
        <f>H79/H$8</f>
        <v>4.9070171632230541E-2</v>
      </c>
      <c r="L79" s="81"/>
    </row>
    <row r="80" spans="1:12" x14ac:dyDescent="0.25">
      <c r="A80" s="164" t="s">
        <v>106</v>
      </c>
      <c r="B80" s="165" t="s">
        <v>106</v>
      </c>
      <c r="C80" s="166">
        <v>63575</v>
      </c>
      <c r="D80" s="166">
        <v>181910</v>
      </c>
      <c r="E80" s="166">
        <v>247663</v>
      </c>
      <c r="F80" s="166">
        <v>256845</v>
      </c>
      <c r="G80" s="166">
        <v>287499</v>
      </c>
      <c r="H80" s="166">
        <v>239589</v>
      </c>
      <c r="I80" s="167">
        <f>IFERROR(H80/G80-1,"-")</f>
        <v>-0.16664405789237524</v>
      </c>
      <c r="J80" s="166">
        <f t="shared" si="25"/>
        <v>-47910</v>
      </c>
      <c r="K80" s="167">
        <f>H80/H$8</f>
        <v>6.8496395354644794E-3</v>
      </c>
      <c r="L80" s="81"/>
    </row>
    <row r="81" spans="1:12" x14ac:dyDescent="0.25">
      <c r="A81" s="164" t="s">
        <v>103</v>
      </c>
      <c r="B81" s="165" t="s">
        <v>103</v>
      </c>
      <c r="C81" s="166">
        <v>372279</v>
      </c>
      <c r="D81" s="166">
        <v>583552</v>
      </c>
      <c r="E81" s="166">
        <v>1408725</v>
      </c>
      <c r="F81" s="166">
        <v>1390128</v>
      </c>
      <c r="G81" s="166">
        <v>1393421</v>
      </c>
      <c r="H81" s="166">
        <v>1476804</v>
      </c>
      <c r="I81" s="167">
        <f>IFERROR(H81/G81-1,"-")</f>
        <v>5.9840493289537111E-2</v>
      </c>
      <c r="J81" s="166">
        <f t="shared" si="25"/>
        <v>83383</v>
      </c>
      <c r="K81" s="167">
        <f>H81/H$8</f>
        <v>4.2220532096766065E-2</v>
      </c>
      <c r="L81" s="81"/>
    </row>
    <row r="82" spans="1:12" x14ac:dyDescent="0.25">
      <c r="A82" s="164"/>
      <c r="B82" s="161" t="s">
        <v>110</v>
      </c>
      <c r="C82" s="162">
        <v>1040581</v>
      </c>
      <c r="D82" s="162">
        <v>1201900</v>
      </c>
      <c r="E82" s="162">
        <v>2696005</v>
      </c>
      <c r="F82" s="162">
        <v>3489313</v>
      </c>
      <c r="G82" s="162">
        <v>4081582</v>
      </c>
      <c r="H82" s="162">
        <v>3950023</v>
      </c>
      <c r="I82" s="163">
        <f>IFERROR(H82/G82-1,"-")</f>
        <v>-3.2232355003525615E-2</v>
      </c>
      <c r="J82" s="162">
        <f t="shared" si="25"/>
        <v>-131559</v>
      </c>
      <c r="K82" s="163">
        <f>H82/H$8</f>
        <v>0.11292769579068325</v>
      </c>
      <c r="L82" s="81"/>
    </row>
    <row r="83" spans="1:12" s="58" customFormat="1" x14ac:dyDescent="0.25">
      <c r="A83" s="164"/>
      <c r="B83" s="165" t="s">
        <v>113</v>
      </c>
      <c r="C83" s="166">
        <v>154382</v>
      </c>
      <c r="D83" s="166">
        <v>114301</v>
      </c>
      <c r="E83" s="166">
        <v>504044</v>
      </c>
      <c r="F83" s="166">
        <v>669954</v>
      </c>
      <c r="G83" s="166">
        <v>788206</v>
      </c>
      <c r="H83" s="166">
        <v>772586</v>
      </c>
      <c r="I83" s="167">
        <f t="shared" ref="I83:I90" si="26">IFERROR(H83/G83-1,"-")</f>
        <v>-1.9817154398723225E-2</v>
      </c>
      <c r="J83" s="166">
        <f t="shared" si="25"/>
        <v>-15620</v>
      </c>
      <c r="K83" s="167">
        <f t="shared" ref="K83:K90" si="27">H83/H$8</f>
        <v>2.2087556649705787E-2</v>
      </c>
      <c r="L83" s="168"/>
    </row>
    <row r="84" spans="1:12" s="58" customFormat="1" x14ac:dyDescent="0.25">
      <c r="A84" s="164"/>
      <c r="B84" s="165" t="s">
        <v>116</v>
      </c>
      <c r="C84" s="166">
        <v>432945</v>
      </c>
      <c r="D84" s="166">
        <v>478237</v>
      </c>
      <c r="E84" s="166">
        <v>1014024</v>
      </c>
      <c r="F84" s="166">
        <v>1213964</v>
      </c>
      <c r="G84" s="166">
        <v>1379633</v>
      </c>
      <c r="H84" s="166">
        <v>1283316</v>
      </c>
      <c r="I84" s="167">
        <f t="shared" si="26"/>
        <v>-6.9813493878444488E-2</v>
      </c>
      <c r="J84" s="166">
        <f t="shared" si="25"/>
        <v>-96317</v>
      </c>
      <c r="K84" s="167">
        <f t="shared" si="27"/>
        <v>3.6688879748628417E-2</v>
      </c>
      <c r="L84" s="168"/>
    </row>
    <row r="85" spans="1:12" x14ac:dyDescent="0.25">
      <c r="A85" s="164"/>
      <c r="B85" s="165" t="s">
        <v>119</v>
      </c>
      <c r="C85" s="166">
        <v>48183</v>
      </c>
      <c r="D85" s="166">
        <v>105849</v>
      </c>
      <c r="E85" s="166">
        <v>179405</v>
      </c>
      <c r="F85" s="166">
        <v>274030</v>
      </c>
      <c r="G85" s="166">
        <v>384632</v>
      </c>
      <c r="H85" s="166">
        <v>380202</v>
      </c>
      <c r="I85" s="167">
        <f t="shared" si="26"/>
        <v>-1.1517502443894378E-2</v>
      </c>
      <c r="J85" s="166">
        <f t="shared" si="25"/>
        <v>-4430</v>
      </c>
      <c r="K85" s="167">
        <f t="shared" si="27"/>
        <v>1.0869641972973158E-2</v>
      </c>
      <c r="L85" s="81"/>
    </row>
    <row r="86" spans="1:12" x14ac:dyDescent="0.25">
      <c r="A86" s="164"/>
      <c r="B86" s="165" t="s">
        <v>126</v>
      </c>
      <c r="C86" s="166">
        <v>13900</v>
      </c>
      <c r="D86" s="166">
        <v>38224</v>
      </c>
      <c r="E86" s="166">
        <v>75513</v>
      </c>
      <c r="F86" s="166">
        <v>91057</v>
      </c>
      <c r="G86" s="166">
        <v>134723</v>
      </c>
      <c r="H86" s="166">
        <v>119140</v>
      </c>
      <c r="I86" s="167">
        <f t="shared" si="26"/>
        <v>-0.1156669610979566</v>
      </c>
      <c r="J86" s="166">
        <f t="shared" si="25"/>
        <v>-15583</v>
      </c>
      <c r="K86" s="167">
        <f t="shared" si="27"/>
        <v>3.4061081863325862E-3</v>
      </c>
      <c r="L86" s="81"/>
    </row>
    <row r="87" spans="1:12" x14ac:dyDescent="0.25">
      <c r="A87" s="164"/>
      <c r="B87" s="165" t="s">
        <v>122</v>
      </c>
      <c r="C87" s="166">
        <v>14741</v>
      </c>
      <c r="D87" s="166">
        <v>33300</v>
      </c>
      <c r="E87" s="166">
        <v>33738</v>
      </c>
      <c r="F87" s="166">
        <v>46238</v>
      </c>
      <c r="G87" s="166">
        <v>58968</v>
      </c>
      <c r="H87" s="166">
        <v>65101</v>
      </c>
      <c r="I87" s="167">
        <f t="shared" si="26"/>
        <v>0.10400556233889557</v>
      </c>
      <c r="J87" s="166">
        <f t="shared" si="25"/>
        <v>6133</v>
      </c>
      <c r="K87" s="167">
        <f t="shared" si="27"/>
        <v>1.8611805358270748E-3</v>
      </c>
      <c r="L87" s="81"/>
    </row>
    <row r="88" spans="1:12" x14ac:dyDescent="0.25">
      <c r="A88" s="164"/>
      <c r="B88" s="165" t="s">
        <v>131</v>
      </c>
      <c r="C88" s="166">
        <v>30454</v>
      </c>
      <c r="D88" s="166">
        <v>20871</v>
      </c>
      <c r="E88" s="166">
        <v>63463</v>
      </c>
      <c r="F88" s="166">
        <v>74920</v>
      </c>
      <c r="G88" s="166">
        <v>68668</v>
      </c>
      <c r="H88" s="166">
        <v>71595</v>
      </c>
      <c r="I88" s="167">
        <f t="shared" si="26"/>
        <v>4.2625385914836667E-2</v>
      </c>
      <c r="J88" s="166">
        <f t="shared" si="25"/>
        <v>2927</v>
      </c>
      <c r="K88" s="167">
        <f t="shared" si="27"/>
        <v>2.0468383045197376E-3</v>
      </c>
      <c r="L88" s="81"/>
    </row>
    <row r="89" spans="1:12" x14ac:dyDescent="0.25">
      <c r="A89" s="164" t="s">
        <v>147</v>
      </c>
      <c r="B89" s="165" t="s">
        <v>134</v>
      </c>
      <c r="C89" s="166">
        <v>50000</v>
      </c>
      <c r="D89" s="166">
        <v>22441</v>
      </c>
      <c r="E89" s="166">
        <v>59972</v>
      </c>
      <c r="F89" s="166">
        <v>81787</v>
      </c>
      <c r="G89" s="166">
        <v>80097</v>
      </c>
      <c r="H89" s="166">
        <v>67552</v>
      </c>
      <c r="I89" s="167">
        <f t="shared" si="26"/>
        <v>-0.15662259510343712</v>
      </c>
      <c r="J89" s="166">
        <f t="shared" si="25"/>
        <v>-12545</v>
      </c>
      <c r="K89" s="167">
        <f t="shared" si="27"/>
        <v>1.9312524777836066E-3</v>
      </c>
      <c r="L89" s="81"/>
    </row>
    <row r="90" spans="1:12" x14ac:dyDescent="0.25">
      <c r="A90" s="164" t="s">
        <v>148</v>
      </c>
      <c r="B90" s="170" t="s">
        <v>148</v>
      </c>
      <c r="C90" s="171">
        <f t="shared" ref="C90" si="28">C82-SUM(C83:C89)</f>
        <v>295976</v>
      </c>
      <c r="D90" s="171">
        <f t="shared" ref="D90:H90" si="29">D82-SUM(D83:D89)</f>
        <v>388677</v>
      </c>
      <c r="E90" s="171">
        <f t="shared" si="29"/>
        <v>765846</v>
      </c>
      <c r="F90" s="171">
        <f t="shared" si="29"/>
        <v>1037363</v>
      </c>
      <c r="G90" s="171">
        <f t="shared" si="29"/>
        <v>1186655</v>
      </c>
      <c r="H90" s="171">
        <f t="shared" si="29"/>
        <v>1190531</v>
      </c>
      <c r="I90" s="172">
        <f t="shared" si="26"/>
        <v>3.2663242475698961E-3</v>
      </c>
      <c r="J90" s="171">
        <f>H90-G90</f>
        <v>3876</v>
      </c>
      <c r="K90" s="172">
        <f t="shared" si="27"/>
        <v>3.4036237914912879E-2</v>
      </c>
      <c r="L90" s="81"/>
    </row>
    <row r="91" spans="1:12" s="148" customFormat="1" x14ac:dyDescent="0.25">
      <c r="A91" s="164"/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</row>
    <row r="92" spans="1:12" x14ac:dyDescent="0.25">
      <c r="A92" s="164"/>
      <c r="B92" s="158" t="s">
        <v>71</v>
      </c>
      <c r="C92" s="178">
        <v>55574</v>
      </c>
      <c r="D92" s="178">
        <v>83402</v>
      </c>
      <c r="E92" s="178">
        <v>137757</v>
      </c>
      <c r="F92" s="178">
        <v>148334</v>
      </c>
      <c r="G92" s="178">
        <v>152300</v>
      </c>
      <c r="H92" s="178">
        <v>152519</v>
      </c>
      <c r="I92" s="179">
        <f>IFERROR(H92/G92-1,"-")</f>
        <v>1.4379514116875658E-3</v>
      </c>
      <c r="J92" s="178">
        <f>H92-G92</f>
        <v>219</v>
      </c>
      <c r="K92" s="179">
        <f>H92/H$8</f>
        <v>4.3603845431530947E-3</v>
      </c>
      <c r="L92" s="81"/>
    </row>
    <row r="93" spans="1:12" x14ac:dyDescent="0.25">
      <c r="A93" s="164" t="s">
        <v>99</v>
      </c>
      <c r="B93" s="161" t="s">
        <v>100</v>
      </c>
      <c r="C93" s="162">
        <v>29167</v>
      </c>
      <c r="D93" s="162">
        <v>42063</v>
      </c>
      <c r="E93" s="162">
        <v>70951</v>
      </c>
      <c r="F93" s="162">
        <v>72432</v>
      </c>
      <c r="G93" s="162">
        <v>71061</v>
      </c>
      <c r="H93" s="162">
        <v>73935</v>
      </c>
      <c r="I93" s="163">
        <f>IFERROR(H93/G93-1,"-")</f>
        <v>4.0444125469666803E-2</v>
      </c>
      <c r="J93" s="162">
        <f t="shared" ref="J93:J103" si="30">H93-G93</f>
        <v>2874</v>
      </c>
      <c r="K93" s="163">
        <f>H93/H$8</f>
        <v>2.1137368537560834E-3</v>
      </c>
      <c r="L93" s="81"/>
    </row>
    <row r="94" spans="1:12" x14ac:dyDescent="0.25">
      <c r="A94" s="164" t="s">
        <v>106</v>
      </c>
      <c r="B94" s="165" t="s">
        <v>106</v>
      </c>
      <c r="C94" s="166">
        <v>14077</v>
      </c>
      <c r="D94" s="166">
        <v>20037</v>
      </c>
      <c r="E94" s="166">
        <v>30228</v>
      </c>
      <c r="F94" s="166">
        <v>19606</v>
      </c>
      <c r="G94" s="166">
        <v>21646</v>
      </c>
      <c r="H94" s="166">
        <v>26636</v>
      </c>
      <c r="I94" s="167">
        <f>IFERROR(H94/G94-1,"-")</f>
        <v>0.23052758015337704</v>
      </c>
      <c r="J94" s="166">
        <f t="shared" si="30"/>
        <v>4990</v>
      </c>
      <c r="K94" s="167">
        <f>H94/H$8</f>
        <v>7.6149989635013236E-4</v>
      </c>
      <c r="L94" s="81"/>
    </row>
    <row r="95" spans="1:12" x14ac:dyDescent="0.25">
      <c r="A95" s="164" t="s">
        <v>103</v>
      </c>
      <c r="B95" s="165" t="s">
        <v>103</v>
      </c>
      <c r="C95" s="166">
        <v>15090</v>
      </c>
      <c r="D95" s="166">
        <v>22026</v>
      </c>
      <c r="E95" s="166">
        <v>40723</v>
      </c>
      <c r="F95" s="166">
        <v>52826</v>
      </c>
      <c r="G95" s="166">
        <v>49415</v>
      </c>
      <c r="H95" s="166">
        <v>47299</v>
      </c>
      <c r="I95" s="167">
        <f>IFERROR(H95/G95-1,"-")</f>
        <v>-4.2821005767479492E-2</v>
      </c>
      <c r="J95" s="166">
        <f t="shared" si="30"/>
        <v>-2116</v>
      </c>
      <c r="K95" s="167">
        <f>H95/H$8</f>
        <v>1.3522369574059511E-3</v>
      </c>
      <c r="L95" s="81"/>
    </row>
    <row r="96" spans="1:12" x14ac:dyDescent="0.25">
      <c r="A96" s="164"/>
      <c r="B96" s="161" t="s">
        <v>110</v>
      </c>
      <c r="C96" s="162">
        <v>26407</v>
      </c>
      <c r="D96" s="162">
        <v>41339</v>
      </c>
      <c r="E96" s="162">
        <v>66806</v>
      </c>
      <c r="F96" s="162">
        <v>75902</v>
      </c>
      <c r="G96" s="162">
        <v>81239</v>
      </c>
      <c r="H96" s="162">
        <v>78584</v>
      </c>
      <c r="I96" s="163">
        <f>IFERROR(H96/G96-1,"-")</f>
        <v>-3.2681347628601976E-2</v>
      </c>
      <c r="J96" s="162">
        <f t="shared" si="30"/>
        <v>-2655</v>
      </c>
      <c r="K96" s="163">
        <f>H96/H$8</f>
        <v>2.2466476893970118E-3</v>
      </c>
      <c r="L96" s="81"/>
    </row>
    <row r="97" spans="1:12" s="58" customFormat="1" x14ac:dyDescent="0.25">
      <c r="A97" s="164"/>
      <c r="B97" s="165" t="s">
        <v>113</v>
      </c>
      <c r="C97" s="166">
        <v>4981</v>
      </c>
      <c r="D97" s="166">
        <v>3494</v>
      </c>
      <c r="E97" s="166">
        <v>9249</v>
      </c>
      <c r="F97" s="166">
        <v>11177</v>
      </c>
      <c r="G97" s="166">
        <v>12296</v>
      </c>
      <c r="H97" s="166">
        <v>9734</v>
      </c>
      <c r="I97" s="167">
        <f t="shared" ref="I97:I104" si="31">IFERROR(H97/G97-1,"-")</f>
        <v>-0.20836044242029927</v>
      </c>
      <c r="J97" s="166">
        <f t="shared" si="30"/>
        <v>-2562</v>
      </c>
      <c r="K97" s="167">
        <f t="shared" ref="K97:K104" si="32">H97/H$8</f>
        <v>2.7828652917375688E-4</v>
      </c>
      <c r="L97" s="168"/>
    </row>
    <row r="98" spans="1:12" s="58" customFormat="1" x14ac:dyDescent="0.25">
      <c r="A98" s="164"/>
      <c r="B98" s="165" t="s">
        <v>116</v>
      </c>
      <c r="C98" s="166">
        <v>7377</v>
      </c>
      <c r="D98" s="166">
        <v>15393</v>
      </c>
      <c r="E98" s="166">
        <v>21050</v>
      </c>
      <c r="F98" s="166">
        <v>22639</v>
      </c>
      <c r="G98" s="166">
        <v>25055</v>
      </c>
      <c r="H98" s="166">
        <v>23641</v>
      </c>
      <c r="I98" s="167">
        <f t="shared" si="31"/>
        <v>-5.64358411494712E-2</v>
      </c>
      <c r="J98" s="166">
        <f t="shared" si="30"/>
        <v>-1414</v>
      </c>
      <c r="K98" s="167">
        <f t="shared" si="32"/>
        <v>6.7587547115233063E-4</v>
      </c>
      <c r="L98" s="168"/>
    </row>
    <row r="99" spans="1:12" x14ac:dyDescent="0.25">
      <c r="A99" s="164"/>
      <c r="B99" s="165" t="s">
        <v>119</v>
      </c>
      <c r="C99" s="166">
        <v>4526</v>
      </c>
      <c r="D99" s="166">
        <v>7148</v>
      </c>
      <c r="E99" s="166">
        <v>7881</v>
      </c>
      <c r="F99" s="166">
        <v>8902</v>
      </c>
      <c r="G99" s="166">
        <v>9750</v>
      </c>
      <c r="H99" s="166">
        <v>9685</v>
      </c>
      <c r="I99" s="167">
        <f t="shared" si="31"/>
        <v>-6.6666666666667096E-3</v>
      </c>
      <c r="J99" s="166">
        <f t="shared" si="30"/>
        <v>-65</v>
      </c>
      <c r="K99" s="167">
        <f t="shared" si="32"/>
        <v>2.7688566211709839E-4</v>
      </c>
      <c r="L99" s="81"/>
    </row>
    <row r="100" spans="1:12" x14ac:dyDescent="0.25">
      <c r="A100" s="164"/>
      <c r="B100" s="165" t="s">
        <v>126</v>
      </c>
      <c r="C100" s="166">
        <v>907</v>
      </c>
      <c r="D100" s="166">
        <v>1385</v>
      </c>
      <c r="E100" s="166">
        <v>4981</v>
      </c>
      <c r="F100" s="166">
        <v>3623</v>
      </c>
      <c r="G100" s="166">
        <v>3800</v>
      </c>
      <c r="H100" s="166">
        <v>2844</v>
      </c>
      <c r="I100" s="167">
        <f t="shared" si="31"/>
        <v>-0.25157894736842101</v>
      </c>
      <c r="J100" s="166">
        <f t="shared" si="30"/>
        <v>-956</v>
      </c>
      <c r="K100" s="167">
        <f t="shared" si="32"/>
        <v>8.1307467533405029E-5</v>
      </c>
      <c r="L100" s="81"/>
    </row>
    <row r="101" spans="1:12" x14ac:dyDescent="0.25">
      <c r="A101" s="164"/>
      <c r="B101" s="165" t="s">
        <v>122</v>
      </c>
      <c r="C101" s="166">
        <v>735</v>
      </c>
      <c r="D101" s="166">
        <v>1315</v>
      </c>
      <c r="E101" s="166">
        <v>1892</v>
      </c>
      <c r="F101" s="166">
        <v>1812</v>
      </c>
      <c r="G101" s="166">
        <v>2358</v>
      </c>
      <c r="H101" s="166">
        <v>2832</v>
      </c>
      <c r="I101" s="167">
        <f t="shared" si="31"/>
        <v>0.20101781170483468</v>
      </c>
      <c r="J101" s="166">
        <f t="shared" si="30"/>
        <v>474</v>
      </c>
      <c r="K101" s="167">
        <f t="shared" si="32"/>
        <v>8.0964398050141723E-5</v>
      </c>
      <c r="L101" s="81"/>
    </row>
    <row r="102" spans="1:12" x14ac:dyDescent="0.25">
      <c r="A102" s="164"/>
      <c r="B102" s="165" t="s">
        <v>131</v>
      </c>
      <c r="C102" s="166">
        <v>588</v>
      </c>
      <c r="D102" s="166">
        <v>275</v>
      </c>
      <c r="E102" s="166">
        <v>817</v>
      </c>
      <c r="F102" s="166">
        <v>420</v>
      </c>
      <c r="G102" s="166">
        <v>782</v>
      </c>
      <c r="H102" s="166">
        <v>445</v>
      </c>
      <c r="I102" s="167">
        <f t="shared" si="31"/>
        <v>-0.43094629156010233</v>
      </c>
      <c r="J102" s="166">
        <f t="shared" si="30"/>
        <v>-337</v>
      </c>
      <c r="K102" s="167">
        <f t="shared" si="32"/>
        <v>1.2722160004347834E-5</v>
      </c>
      <c r="L102" s="81"/>
    </row>
    <row r="103" spans="1:12" x14ac:dyDescent="0.25">
      <c r="A103" s="164" t="s">
        <v>147</v>
      </c>
      <c r="B103" s="165" t="s">
        <v>134</v>
      </c>
      <c r="C103" s="166">
        <v>255</v>
      </c>
      <c r="D103" s="166">
        <v>259</v>
      </c>
      <c r="E103" s="166">
        <v>385</v>
      </c>
      <c r="F103" s="166">
        <v>950</v>
      </c>
      <c r="G103" s="166">
        <v>1244</v>
      </c>
      <c r="H103" s="166">
        <v>740</v>
      </c>
      <c r="I103" s="167">
        <f t="shared" si="31"/>
        <v>-0.40514469453376201</v>
      </c>
      <c r="J103" s="166">
        <f t="shared" si="30"/>
        <v>-504</v>
      </c>
      <c r="K103" s="167">
        <f t="shared" si="32"/>
        <v>2.1155951467904264E-5</v>
      </c>
      <c r="L103" s="81"/>
    </row>
    <row r="104" spans="1:12" x14ac:dyDescent="0.25">
      <c r="A104" s="164" t="s">
        <v>148</v>
      </c>
      <c r="B104" s="170" t="s">
        <v>148</v>
      </c>
      <c r="C104" s="171">
        <f t="shared" ref="C104" si="33">C96-SUM(C97:C103)</f>
        <v>7038</v>
      </c>
      <c r="D104" s="171">
        <f t="shared" ref="D104:H104" si="34">D96-SUM(D97:D103)</f>
        <v>12070</v>
      </c>
      <c r="E104" s="171">
        <f t="shared" si="34"/>
        <v>20551</v>
      </c>
      <c r="F104" s="171">
        <f t="shared" si="34"/>
        <v>26379</v>
      </c>
      <c r="G104" s="171">
        <f t="shared" si="34"/>
        <v>25954</v>
      </c>
      <c r="H104" s="171">
        <f t="shared" si="34"/>
        <v>28663</v>
      </c>
      <c r="I104" s="172">
        <f t="shared" si="31"/>
        <v>0.10437697464745321</v>
      </c>
      <c r="J104" s="171">
        <f>H104-G104</f>
        <v>2709</v>
      </c>
      <c r="K104" s="172">
        <f t="shared" si="32"/>
        <v>8.194500498980269E-4</v>
      </c>
      <c r="L104" s="81"/>
    </row>
    <row r="105" spans="1:12" s="148" customFormat="1" x14ac:dyDescent="0.25">
      <c r="A105" s="164"/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</row>
    <row r="106" spans="1:12" x14ac:dyDescent="0.25">
      <c r="A106" s="164"/>
      <c r="B106" s="158" t="s">
        <v>71</v>
      </c>
      <c r="C106" s="178">
        <v>434663</v>
      </c>
      <c r="D106" s="178">
        <v>749212</v>
      </c>
      <c r="E106" s="178">
        <v>1316064</v>
      </c>
      <c r="F106" s="178">
        <v>1447168</v>
      </c>
      <c r="G106" s="178">
        <v>1453294</v>
      </c>
      <c r="H106" s="178">
        <v>1411233</v>
      </c>
      <c r="I106" s="179">
        <f>IFERROR(H106/G106-1,"-")</f>
        <v>-2.8941838334156755E-2</v>
      </c>
      <c r="J106" s="178">
        <f>H106-G106</f>
        <v>-42061</v>
      </c>
      <c r="K106" s="179">
        <f>H106/H$8</f>
        <v>4.0345914672844513E-2</v>
      </c>
      <c r="L106" s="81"/>
    </row>
    <row r="107" spans="1:12" x14ac:dyDescent="0.25">
      <c r="A107" s="164" t="s">
        <v>99</v>
      </c>
      <c r="B107" s="161" t="s">
        <v>100</v>
      </c>
      <c r="C107" s="162">
        <v>124658</v>
      </c>
      <c r="D107" s="162">
        <v>199003</v>
      </c>
      <c r="E107" s="162">
        <v>220579</v>
      </c>
      <c r="F107" s="162">
        <v>219096</v>
      </c>
      <c r="G107" s="162">
        <v>207819</v>
      </c>
      <c r="H107" s="162">
        <v>216184</v>
      </c>
      <c r="I107" s="163">
        <f>IFERROR(H107/G107-1,"-")</f>
        <v>4.0251372588646861E-2</v>
      </c>
      <c r="J107" s="162">
        <f t="shared" ref="J107:J117" si="35">H107-G107</f>
        <v>8365</v>
      </c>
      <c r="K107" s="163">
        <f>H107/H$8</f>
        <v>6.1805110974829935E-3</v>
      </c>
      <c r="L107" s="81"/>
    </row>
    <row r="108" spans="1:12" x14ac:dyDescent="0.25">
      <c r="A108" s="164" t="s">
        <v>106</v>
      </c>
      <c r="B108" s="165" t="s">
        <v>106</v>
      </c>
      <c r="C108" s="166">
        <v>16504</v>
      </c>
      <c r="D108" s="166">
        <v>106031</v>
      </c>
      <c r="E108" s="166">
        <v>75504</v>
      </c>
      <c r="F108" s="166">
        <v>57419</v>
      </c>
      <c r="G108" s="166">
        <v>59079</v>
      </c>
      <c r="H108" s="166">
        <v>76236</v>
      </c>
      <c r="I108" s="167">
        <f>IFERROR(H108/G108-1,"-")</f>
        <v>0.29040775910221917</v>
      </c>
      <c r="J108" s="166">
        <f t="shared" si="35"/>
        <v>17157</v>
      </c>
      <c r="K108" s="167">
        <f>H108/H$8</f>
        <v>2.1795204271718234E-3</v>
      </c>
      <c r="L108" s="81"/>
    </row>
    <row r="109" spans="1:12" x14ac:dyDescent="0.25">
      <c r="A109" s="164" t="s">
        <v>103</v>
      </c>
      <c r="B109" s="165" t="s">
        <v>103</v>
      </c>
      <c r="C109" s="166">
        <v>108154</v>
      </c>
      <c r="D109" s="166">
        <v>92972</v>
      </c>
      <c r="E109" s="166">
        <v>145075</v>
      </c>
      <c r="F109" s="166">
        <v>161677</v>
      </c>
      <c r="G109" s="166">
        <v>148740</v>
      </c>
      <c r="H109" s="166">
        <v>139948</v>
      </c>
      <c r="I109" s="167">
        <f>IFERROR(H109/G109-1,"-")</f>
        <v>-5.9109856124781479E-2</v>
      </c>
      <c r="J109" s="166">
        <f t="shared" si="35"/>
        <v>-8792</v>
      </c>
      <c r="K109" s="167">
        <f>H109/H$8</f>
        <v>4.0009906703111697E-3</v>
      </c>
      <c r="L109" s="81"/>
    </row>
    <row r="110" spans="1:12" x14ac:dyDescent="0.25">
      <c r="A110" s="164"/>
      <c r="B110" s="161" t="s">
        <v>110</v>
      </c>
      <c r="C110" s="162">
        <v>310005</v>
      </c>
      <c r="D110" s="162">
        <v>550209</v>
      </c>
      <c r="E110" s="162">
        <v>1095485</v>
      </c>
      <c r="F110" s="162">
        <v>1228072</v>
      </c>
      <c r="G110" s="162">
        <v>1245475</v>
      </c>
      <c r="H110" s="162">
        <v>1195049</v>
      </c>
      <c r="I110" s="163">
        <f>IFERROR(H110/G110-1,"-")</f>
        <v>-4.048736425861621E-2</v>
      </c>
      <c r="J110" s="162">
        <f t="shared" si="35"/>
        <v>-50426</v>
      </c>
      <c r="K110" s="163">
        <f>H110/H$8</f>
        <v>3.4165403575361519E-2</v>
      </c>
      <c r="L110" s="81"/>
    </row>
    <row r="111" spans="1:12" s="58" customFormat="1" x14ac:dyDescent="0.25">
      <c r="A111" s="164"/>
      <c r="B111" s="165" t="s">
        <v>113</v>
      </c>
      <c r="C111" s="166">
        <v>176124</v>
      </c>
      <c r="D111" s="166">
        <v>251557</v>
      </c>
      <c r="E111" s="166">
        <v>673877</v>
      </c>
      <c r="F111" s="166">
        <v>775590</v>
      </c>
      <c r="G111" s="166">
        <v>761721</v>
      </c>
      <c r="H111" s="166">
        <v>693060</v>
      </c>
      <c r="I111" s="167">
        <f t="shared" ref="I111:I118" si="36">IFERROR(H111/G111-1,"-")</f>
        <v>-9.0139302973135882E-2</v>
      </c>
      <c r="J111" s="166">
        <f t="shared" si="35"/>
        <v>-68661</v>
      </c>
      <c r="K111" s="167">
        <f t="shared" ref="K111:K118" si="37">H111/H$8</f>
        <v>1.9813978005872607E-2</v>
      </c>
      <c r="L111" s="168"/>
    </row>
    <row r="112" spans="1:12" s="58" customFormat="1" x14ac:dyDescent="0.25">
      <c r="A112" s="164"/>
      <c r="B112" s="165" t="s">
        <v>116</v>
      </c>
      <c r="C112" s="166">
        <v>22421</v>
      </c>
      <c r="D112" s="166">
        <v>57079</v>
      </c>
      <c r="E112" s="166">
        <v>45927</v>
      </c>
      <c r="F112" s="166">
        <v>60304</v>
      </c>
      <c r="G112" s="166">
        <v>60756</v>
      </c>
      <c r="H112" s="166">
        <v>64460</v>
      </c>
      <c r="I112" s="167">
        <f t="shared" si="36"/>
        <v>6.096517216406605E-2</v>
      </c>
      <c r="J112" s="166">
        <f t="shared" si="35"/>
        <v>3704</v>
      </c>
      <c r="K112" s="167">
        <f t="shared" si="37"/>
        <v>1.842854907596093E-3</v>
      </c>
      <c r="L112" s="168"/>
    </row>
    <row r="113" spans="1:12" x14ac:dyDescent="0.25">
      <c r="A113" s="164"/>
      <c r="B113" s="165" t="s">
        <v>119</v>
      </c>
      <c r="C113" s="166">
        <v>13826</v>
      </c>
      <c r="D113" s="166">
        <v>67210</v>
      </c>
      <c r="E113" s="166">
        <v>65652</v>
      </c>
      <c r="F113" s="166">
        <v>76293</v>
      </c>
      <c r="G113" s="166">
        <v>85229</v>
      </c>
      <c r="H113" s="166">
        <v>102486</v>
      </c>
      <c r="I113" s="167">
        <f t="shared" si="36"/>
        <v>0.20247802977859641</v>
      </c>
      <c r="J113" s="166">
        <f t="shared" si="35"/>
        <v>17257</v>
      </c>
      <c r="K113" s="167">
        <f t="shared" si="37"/>
        <v>2.9299849218103195E-3</v>
      </c>
      <c r="L113" s="81"/>
    </row>
    <row r="114" spans="1:12" x14ac:dyDescent="0.25">
      <c r="A114" s="164"/>
      <c r="B114" s="165" t="s">
        <v>126</v>
      </c>
      <c r="C114" s="166">
        <v>8828</v>
      </c>
      <c r="D114" s="166">
        <v>29461</v>
      </c>
      <c r="E114" s="166">
        <v>41263</v>
      </c>
      <c r="F114" s="166">
        <v>42135</v>
      </c>
      <c r="G114" s="166">
        <v>41377</v>
      </c>
      <c r="H114" s="166">
        <v>42484</v>
      </c>
      <c r="I114" s="167">
        <f t="shared" si="36"/>
        <v>2.6753993764651929E-2</v>
      </c>
      <c r="J114" s="166">
        <f t="shared" si="35"/>
        <v>1107</v>
      </c>
      <c r="K114" s="167">
        <f t="shared" si="37"/>
        <v>1.214580327246547E-3</v>
      </c>
      <c r="L114" s="81"/>
    </row>
    <row r="115" spans="1:12" x14ac:dyDescent="0.25">
      <c r="A115" s="164"/>
      <c r="B115" s="165" t="s">
        <v>122</v>
      </c>
      <c r="C115" s="166">
        <v>19692</v>
      </c>
      <c r="D115" s="166">
        <v>36897</v>
      </c>
      <c r="E115" s="166">
        <v>41249</v>
      </c>
      <c r="F115" s="166">
        <v>42266</v>
      </c>
      <c r="G115" s="166">
        <v>33197</v>
      </c>
      <c r="H115" s="166">
        <v>33804</v>
      </c>
      <c r="I115" s="167">
        <f t="shared" si="36"/>
        <v>1.8284784769708073E-2</v>
      </c>
      <c r="J115" s="166">
        <f t="shared" si="35"/>
        <v>607</v>
      </c>
      <c r="K115" s="167">
        <f t="shared" si="37"/>
        <v>9.6642673435275096E-4</v>
      </c>
      <c r="L115" s="81"/>
    </row>
    <row r="116" spans="1:12" x14ac:dyDescent="0.25">
      <c r="A116" s="164"/>
      <c r="B116" s="165" t="s">
        <v>131</v>
      </c>
      <c r="C116" s="166">
        <v>2343</v>
      </c>
      <c r="D116" s="166">
        <v>2314</v>
      </c>
      <c r="E116" s="166">
        <v>11983</v>
      </c>
      <c r="F116" s="166">
        <v>11780</v>
      </c>
      <c r="G116" s="166">
        <v>11633</v>
      </c>
      <c r="H116" s="166">
        <v>9289</v>
      </c>
      <c r="I116" s="167">
        <f t="shared" si="36"/>
        <v>-0.20149574486374966</v>
      </c>
      <c r="J116" s="166">
        <f t="shared" si="35"/>
        <v>-2344</v>
      </c>
      <c r="K116" s="167">
        <f t="shared" si="37"/>
        <v>2.6556436916940905E-4</v>
      </c>
      <c r="L116" s="81"/>
    </row>
    <row r="117" spans="1:12" x14ac:dyDescent="0.25">
      <c r="A117" s="164" t="s">
        <v>147</v>
      </c>
      <c r="B117" s="165" t="s">
        <v>134</v>
      </c>
      <c r="C117" s="166">
        <v>7286</v>
      </c>
      <c r="D117" s="166">
        <v>3610</v>
      </c>
      <c r="E117" s="166">
        <v>7507</v>
      </c>
      <c r="F117" s="166">
        <v>7656</v>
      </c>
      <c r="G117" s="166">
        <v>10984</v>
      </c>
      <c r="H117" s="166">
        <v>6717</v>
      </c>
      <c r="I117" s="167">
        <f t="shared" si="36"/>
        <v>-0.38847414420975968</v>
      </c>
      <c r="J117" s="166">
        <f t="shared" si="35"/>
        <v>-4267</v>
      </c>
      <c r="K117" s="167">
        <f t="shared" si="37"/>
        <v>1.9203314325663909E-4</v>
      </c>
      <c r="L117" s="81"/>
    </row>
    <row r="118" spans="1:12" x14ac:dyDescent="0.25">
      <c r="A118" s="164" t="s">
        <v>148</v>
      </c>
      <c r="B118" s="170" t="s">
        <v>148</v>
      </c>
      <c r="C118" s="171">
        <f t="shared" ref="C118" si="38">C110-SUM(C111:C117)</f>
        <v>59485</v>
      </c>
      <c r="D118" s="171">
        <f t="shared" ref="D118:H118" si="39">D110-SUM(D111:D117)</f>
        <v>102081</v>
      </c>
      <c r="E118" s="171">
        <f t="shared" si="39"/>
        <v>208027</v>
      </c>
      <c r="F118" s="171">
        <f t="shared" si="39"/>
        <v>212048</v>
      </c>
      <c r="G118" s="171">
        <f t="shared" si="39"/>
        <v>240578</v>
      </c>
      <c r="H118" s="171">
        <f t="shared" si="39"/>
        <v>242749</v>
      </c>
      <c r="I118" s="172">
        <f t="shared" si="36"/>
        <v>9.0241002917972324E-3</v>
      </c>
      <c r="J118" s="171">
        <f>H118-G118</f>
        <v>2171</v>
      </c>
      <c r="K118" s="172">
        <f t="shared" si="37"/>
        <v>6.9399811660571511E-3</v>
      </c>
      <c r="L118" s="81"/>
    </row>
    <row r="119" spans="1:12" s="148" customFormat="1" x14ac:dyDescent="0.25">
      <c r="A119" s="164"/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</row>
    <row r="120" spans="1:12" x14ac:dyDescent="0.25">
      <c r="A120" s="164"/>
      <c r="B120" s="158" t="s">
        <v>71</v>
      </c>
      <c r="C120" s="178">
        <v>193648</v>
      </c>
      <c r="D120" s="178">
        <v>359169</v>
      </c>
      <c r="E120" s="178">
        <v>543499</v>
      </c>
      <c r="F120" s="178">
        <v>577841</v>
      </c>
      <c r="G120" s="178">
        <v>583363</v>
      </c>
      <c r="H120" s="178">
        <v>615470</v>
      </c>
      <c r="I120" s="179">
        <f>IFERROR(H120/G120-1,"-")</f>
        <v>5.5037772364719739E-2</v>
      </c>
      <c r="J120" s="178">
        <f>H120-G120</f>
        <v>32107</v>
      </c>
      <c r="K120" s="179">
        <f>H120/H$8</f>
        <v>1.7595747905339239E-2</v>
      </c>
      <c r="L120" s="81"/>
    </row>
    <row r="121" spans="1:12" x14ac:dyDescent="0.25">
      <c r="A121" s="164" t="s">
        <v>99</v>
      </c>
      <c r="B121" s="161" t="s">
        <v>100</v>
      </c>
      <c r="C121" s="162">
        <v>99995</v>
      </c>
      <c r="D121" s="162">
        <v>206631</v>
      </c>
      <c r="E121" s="162">
        <v>271944</v>
      </c>
      <c r="F121" s="162">
        <v>303323</v>
      </c>
      <c r="G121" s="162">
        <v>307279</v>
      </c>
      <c r="H121" s="162">
        <v>343569</v>
      </c>
      <c r="I121" s="163">
        <f>IFERROR(H121/G121-1,"-")</f>
        <v>0.1181011393554392</v>
      </c>
      <c r="J121" s="162">
        <f t="shared" ref="J121:J131" si="40">H121-G121</f>
        <v>36290</v>
      </c>
      <c r="K121" s="163">
        <f>H121/H$8</f>
        <v>9.8223366079410804E-3</v>
      </c>
      <c r="L121" s="81"/>
    </row>
    <row r="122" spans="1:12" x14ac:dyDescent="0.25">
      <c r="A122" s="164" t="s">
        <v>106</v>
      </c>
      <c r="B122" s="165" t="s">
        <v>106</v>
      </c>
      <c r="C122" s="166">
        <v>39722</v>
      </c>
      <c r="D122" s="166">
        <v>96469</v>
      </c>
      <c r="E122" s="166">
        <v>128559</v>
      </c>
      <c r="F122" s="166">
        <v>122170</v>
      </c>
      <c r="G122" s="166">
        <v>132724</v>
      </c>
      <c r="H122" s="166">
        <v>158037</v>
      </c>
      <c r="I122" s="167">
        <f>IFERROR(H122/G122-1,"-")</f>
        <v>0.19071908622404399</v>
      </c>
      <c r="J122" s="166">
        <f t="shared" si="40"/>
        <v>25313</v>
      </c>
      <c r="K122" s="167">
        <f>H122/H$8</f>
        <v>4.518139327207008E-3</v>
      </c>
      <c r="L122" s="81"/>
    </row>
    <row r="123" spans="1:12" x14ac:dyDescent="0.25">
      <c r="A123" s="164" t="s">
        <v>103</v>
      </c>
      <c r="B123" s="165" t="s">
        <v>103</v>
      </c>
      <c r="C123" s="166">
        <v>60273</v>
      </c>
      <c r="D123" s="166">
        <v>110162</v>
      </c>
      <c r="E123" s="166">
        <v>143385</v>
      </c>
      <c r="F123" s="166">
        <v>181153</v>
      </c>
      <c r="G123" s="166">
        <v>174555</v>
      </c>
      <c r="H123" s="166">
        <v>185532</v>
      </c>
      <c r="I123" s="167">
        <f>IFERROR(H123/G123-1,"-")</f>
        <v>6.2885623442467953E-2</v>
      </c>
      <c r="J123" s="166">
        <f t="shared" si="40"/>
        <v>10977</v>
      </c>
      <c r="K123" s="167">
        <f>H123/H$8</f>
        <v>5.3041972807340724E-3</v>
      </c>
      <c r="L123" s="81"/>
    </row>
    <row r="124" spans="1:12" x14ac:dyDescent="0.25">
      <c r="A124" s="164"/>
      <c r="B124" s="161" t="s">
        <v>110</v>
      </c>
      <c r="C124" s="162">
        <v>93653</v>
      </c>
      <c r="D124" s="162">
        <v>152538</v>
      </c>
      <c r="E124" s="162">
        <v>271555</v>
      </c>
      <c r="F124" s="162">
        <v>274518</v>
      </c>
      <c r="G124" s="162">
        <v>276084</v>
      </c>
      <c r="H124" s="162">
        <v>271901</v>
      </c>
      <c r="I124" s="163">
        <f>IFERROR(H124/G124-1,"-")</f>
        <v>-1.5151185870966755E-2</v>
      </c>
      <c r="J124" s="162">
        <f t="shared" si="40"/>
        <v>-4183</v>
      </c>
      <c r="K124" s="163">
        <f>H124/H$8</f>
        <v>7.7734112973981582E-3</v>
      </c>
      <c r="L124" s="81"/>
    </row>
    <row r="125" spans="1:12" s="58" customFormat="1" x14ac:dyDescent="0.25">
      <c r="A125" s="164"/>
      <c r="B125" s="165" t="s">
        <v>113</v>
      </c>
      <c r="C125" s="166">
        <v>10946</v>
      </c>
      <c r="D125" s="166">
        <v>11117</v>
      </c>
      <c r="E125" s="166">
        <v>33351</v>
      </c>
      <c r="F125" s="166">
        <v>40285</v>
      </c>
      <c r="G125" s="166">
        <v>36563</v>
      </c>
      <c r="H125" s="166">
        <v>30846</v>
      </c>
      <c r="I125" s="167">
        <f t="shared" ref="I125:I132" si="41">IFERROR(H125/G125-1,"-")</f>
        <v>-0.15636025490249705</v>
      </c>
      <c r="J125" s="166">
        <f t="shared" si="40"/>
        <v>-5717</v>
      </c>
      <c r="K125" s="167">
        <f t="shared" ref="K125:K132" si="42">H125/H$8</f>
        <v>8.8186010672834441E-4</v>
      </c>
      <c r="L125" s="168"/>
    </row>
    <row r="126" spans="1:12" s="58" customFormat="1" x14ac:dyDescent="0.25">
      <c r="A126" s="164"/>
      <c r="B126" s="165" t="s">
        <v>116</v>
      </c>
      <c r="C126" s="166">
        <v>11173</v>
      </c>
      <c r="D126" s="166">
        <v>23428</v>
      </c>
      <c r="E126" s="166">
        <v>34791</v>
      </c>
      <c r="F126" s="166">
        <v>43431</v>
      </c>
      <c r="G126" s="166">
        <v>42207</v>
      </c>
      <c r="H126" s="166">
        <v>43215</v>
      </c>
      <c r="I126" s="167">
        <f t="shared" si="41"/>
        <v>2.3882294406141202E-2</v>
      </c>
      <c r="J126" s="166">
        <f t="shared" si="40"/>
        <v>1008</v>
      </c>
      <c r="K126" s="167">
        <f t="shared" si="42"/>
        <v>1.2354789766020036E-3</v>
      </c>
      <c r="L126" s="168"/>
    </row>
    <row r="127" spans="1:12" x14ac:dyDescent="0.25">
      <c r="A127" s="164"/>
      <c r="B127" s="165" t="s">
        <v>119</v>
      </c>
      <c r="C127" s="166">
        <v>6712</v>
      </c>
      <c r="D127" s="166">
        <v>18250</v>
      </c>
      <c r="E127" s="166">
        <v>23874</v>
      </c>
      <c r="F127" s="166">
        <v>26766</v>
      </c>
      <c r="G127" s="166">
        <v>26411</v>
      </c>
      <c r="H127" s="166">
        <v>27334</v>
      </c>
      <c r="I127" s="167">
        <f t="shared" si="41"/>
        <v>3.4947559728900845E-2</v>
      </c>
      <c r="J127" s="166">
        <f t="shared" si="40"/>
        <v>923</v>
      </c>
      <c r="K127" s="167">
        <f t="shared" si="42"/>
        <v>7.8145510462661501E-4</v>
      </c>
      <c r="L127" s="81"/>
    </row>
    <row r="128" spans="1:12" x14ac:dyDescent="0.25">
      <c r="A128" s="164"/>
      <c r="B128" s="165" t="s">
        <v>126</v>
      </c>
      <c r="C128" s="166">
        <v>1694</v>
      </c>
      <c r="D128" s="166">
        <v>3678</v>
      </c>
      <c r="E128" s="166">
        <v>6463</v>
      </c>
      <c r="F128" s="166">
        <v>7409</v>
      </c>
      <c r="G128" s="166">
        <v>7428</v>
      </c>
      <c r="H128" s="166">
        <v>8757</v>
      </c>
      <c r="I128" s="167">
        <f t="shared" si="41"/>
        <v>0.17891760904684983</v>
      </c>
      <c r="J128" s="166">
        <f t="shared" si="40"/>
        <v>1329</v>
      </c>
      <c r="K128" s="167">
        <f t="shared" si="42"/>
        <v>2.5035495541140222E-4</v>
      </c>
      <c r="L128" s="81"/>
    </row>
    <row r="129" spans="1:12" x14ac:dyDescent="0.25">
      <c r="A129" s="164"/>
      <c r="B129" s="165" t="s">
        <v>122</v>
      </c>
      <c r="C129" s="166">
        <v>1808</v>
      </c>
      <c r="D129" s="166">
        <v>3450</v>
      </c>
      <c r="E129" s="166">
        <v>4851</v>
      </c>
      <c r="F129" s="166">
        <v>6010</v>
      </c>
      <c r="G129" s="166">
        <v>5932</v>
      </c>
      <c r="H129" s="166">
        <v>6825</v>
      </c>
      <c r="I129" s="167">
        <f t="shared" si="41"/>
        <v>0.15053944706675648</v>
      </c>
      <c r="J129" s="166">
        <f t="shared" si="40"/>
        <v>893</v>
      </c>
      <c r="K129" s="167">
        <f t="shared" si="42"/>
        <v>1.9512076860600891E-4</v>
      </c>
      <c r="L129" s="81"/>
    </row>
    <row r="130" spans="1:12" x14ac:dyDescent="0.25">
      <c r="A130" s="164"/>
      <c r="B130" s="165" t="s">
        <v>131</v>
      </c>
      <c r="C130" s="166">
        <v>1667</v>
      </c>
      <c r="D130" s="166">
        <v>1442</v>
      </c>
      <c r="E130" s="166">
        <v>2747</v>
      </c>
      <c r="F130" s="166">
        <v>3507</v>
      </c>
      <c r="G130" s="166">
        <v>3870</v>
      </c>
      <c r="H130" s="166">
        <v>3006</v>
      </c>
      <c r="I130" s="167">
        <f t="shared" si="41"/>
        <v>-0.22325581395348837</v>
      </c>
      <c r="J130" s="166">
        <f t="shared" si="40"/>
        <v>-864</v>
      </c>
      <c r="K130" s="167">
        <f t="shared" si="42"/>
        <v>8.593890555745975E-5</v>
      </c>
      <c r="L130" s="81"/>
    </row>
    <row r="131" spans="1:12" x14ac:dyDescent="0.25">
      <c r="A131" s="164" t="s">
        <v>147</v>
      </c>
      <c r="B131" s="165" t="s">
        <v>134</v>
      </c>
      <c r="C131" s="166">
        <v>2114</v>
      </c>
      <c r="D131" s="166">
        <v>2010</v>
      </c>
      <c r="E131" s="166">
        <v>4022</v>
      </c>
      <c r="F131" s="166">
        <v>4912</v>
      </c>
      <c r="G131" s="166">
        <v>5426</v>
      </c>
      <c r="H131" s="166">
        <v>4655</v>
      </c>
      <c r="I131" s="167">
        <f t="shared" si="41"/>
        <v>-0.14209362329524511</v>
      </c>
      <c r="J131" s="166">
        <f t="shared" si="40"/>
        <v>-771</v>
      </c>
      <c r="K131" s="167">
        <f t="shared" si="42"/>
        <v>1.3308237038255993E-4</v>
      </c>
      <c r="L131" s="81"/>
    </row>
    <row r="132" spans="1:12" x14ac:dyDescent="0.25">
      <c r="A132" s="164" t="s">
        <v>148</v>
      </c>
      <c r="B132" s="170" t="s">
        <v>148</v>
      </c>
      <c r="C132" s="171">
        <f t="shared" ref="C132" si="43">C124-SUM(C125:C131)</f>
        <v>57539</v>
      </c>
      <c r="D132" s="171">
        <f t="shared" ref="D132:H132" si="44">D124-SUM(D125:D131)</f>
        <v>89163</v>
      </c>
      <c r="E132" s="171">
        <f t="shared" si="44"/>
        <v>161456</v>
      </c>
      <c r="F132" s="171">
        <f t="shared" si="44"/>
        <v>142198</v>
      </c>
      <c r="G132" s="171">
        <f t="shared" si="44"/>
        <v>148247</v>
      </c>
      <c r="H132" s="171">
        <f t="shared" si="44"/>
        <v>147263</v>
      </c>
      <c r="I132" s="172">
        <f t="shared" si="41"/>
        <v>-6.6375710806964028E-3</v>
      </c>
      <c r="J132" s="171">
        <f>H132-G132</f>
        <v>-984</v>
      </c>
      <c r="K132" s="172">
        <f t="shared" si="42"/>
        <v>4.2101201094837644E-3</v>
      </c>
      <c r="L132" s="81"/>
    </row>
    <row r="133" spans="1:12" s="148" customFormat="1" x14ac:dyDescent="0.25">
      <c r="A133" s="164"/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</row>
    <row r="134" spans="1:12" x14ac:dyDescent="0.25">
      <c r="A134" s="164"/>
      <c r="B134" s="158" t="s">
        <v>71</v>
      </c>
      <c r="C134" s="178">
        <v>584304</v>
      </c>
      <c r="D134" s="178">
        <v>774989</v>
      </c>
      <c r="E134" s="178">
        <v>1753117</v>
      </c>
      <c r="F134" s="178">
        <v>1897228</v>
      </c>
      <c r="G134" s="178">
        <v>1991159</v>
      </c>
      <c r="H134" s="178">
        <v>2013195</v>
      </c>
      <c r="I134" s="179">
        <f>IFERROR(H134/G134-1,"-")</f>
        <v>1.1066921325720402E-2</v>
      </c>
      <c r="J134" s="178">
        <f>H134-G134</f>
        <v>22036</v>
      </c>
      <c r="K134" s="179">
        <f>H134/H$8</f>
        <v>5.7555480696523678E-2</v>
      </c>
      <c r="L134" s="81"/>
    </row>
    <row r="135" spans="1:12" x14ac:dyDescent="0.25">
      <c r="A135" s="164" t="s">
        <v>99</v>
      </c>
      <c r="B135" s="161" t="s">
        <v>100</v>
      </c>
      <c r="C135" s="162">
        <v>64416</v>
      </c>
      <c r="D135" s="162">
        <v>141993</v>
      </c>
      <c r="E135" s="162">
        <v>105219</v>
      </c>
      <c r="F135" s="162">
        <v>121724</v>
      </c>
      <c r="G135" s="162">
        <v>103793</v>
      </c>
      <c r="H135" s="162">
        <v>122657</v>
      </c>
      <c r="I135" s="163">
        <f>IFERROR(H135/G135-1,"-")</f>
        <v>0.18174636054454529</v>
      </c>
      <c r="J135" s="162">
        <f t="shared" ref="J135:J145" si="45">H135-G135</f>
        <v>18864</v>
      </c>
      <c r="K135" s="163">
        <f>H135/H$8</f>
        <v>3.5066561340523421E-3</v>
      </c>
      <c r="L135" s="81"/>
    </row>
    <row r="136" spans="1:12" x14ac:dyDescent="0.25">
      <c r="A136" s="164" t="s">
        <v>106</v>
      </c>
      <c r="B136" s="165" t="s">
        <v>106</v>
      </c>
      <c r="C136" s="166">
        <v>42658</v>
      </c>
      <c r="D136" s="166">
        <v>86437</v>
      </c>
      <c r="E136" s="166">
        <v>57546</v>
      </c>
      <c r="F136" s="166">
        <v>67596</v>
      </c>
      <c r="G136" s="166">
        <v>47888</v>
      </c>
      <c r="H136" s="166">
        <v>53311</v>
      </c>
      <c r="I136" s="167">
        <f>IFERROR(H136/G136-1,"-")</f>
        <v>0.11324340126962906</v>
      </c>
      <c r="J136" s="166">
        <f t="shared" si="45"/>
        <v>5423</v>
      </c>
      <c r="K136" s="167">
        <f>H136/H$8</f>
        <v>1.5241147685208704E-3</v>
      </c>
      <c r="L136" s="81"/>
    </row>
    <row r="137" spans="1:12" x14ac:dyDescent="0.25">
      <c r="A137" s="164" t="s">
        <v>103</v>
      </c>
      <c r="B137" s="165" t="s">
        <v>103</v>
      </c>
      <c r="C137" s="166">
        <v>21758</v>
      </c>
      <c r="D137" s="166">
        <v>55556</v>
      </c>
      <c r="E137" s="166">
        <v>47673</v>
      </c>
      <c r="F137" s="166">
        <v>54128</v>
      </c>
      <c r="G137" s="166">
        <v>55905</v>
      </c>
      <c r="H137" s="166">
        <v>69346</v>
      </c>
      <c r="I137" s="167">
        <f>IFERROR(H137/G137-1,"-")</f>
        <v>0.24042572220731606</v>
      </c>
      <c r="J137" s="166">
        <f t="shared" si="45"/>
        <v>13441</v>
      </c>
      <c r="K137" s="167">
        <f>H137/H$8</f>
        <v>1.9825413655314718E-3</v>
      </c>
      <c r="L137" s="81"/>
    </row>
    <row r="138" spans="1:12" x14ac:dyDescent="0.25">
      <c r="A138" s="164"/>
      <c r="B138" s="161" t="s">
        <v>110</v>
      </c>
      <c r="C138" s="162">
        <v>519888</v>
      </c>
      <c r="D138" s="162">
        <v>632996</v>
      </c>
      <c r="E138" s="162">
        <v>1647898</v>
      </c>
      <c r="F138" s="162">
        <v>1775504</v>
      </c>
      <c r="G138" s="162">
        <v>1887366</v>
      </c>
      <c r="H138" s="162">
        <v>1890538</v>
      </c>
      <c r="I138" s="163">
        <f>IFERROR(H138/G138-1,"-")</f>
        <v>1.6806491162817405E-3</v>
      </c>
      <c r="J138" s="162">
        <f t="shared" si="45"/>
        <v>3172</v>
      </c>
      <c r="K138" s="163">
        <f>H138/H$8</f>
        <v>5.4048824562471336E-2</v>
      </c>
      <c r="L138" s="81"/>
    </row>
    <row r="139" spans="1:12" s="58" customFormat="1" x14ac:dyDescent="0.25">
      <c r="A139" s="164"/>
      <c r="B139" s="165" t="s">
        <v>113</v>
      </c>
      <c r="C139" s="166">
        <v>223652</v>
      </c>
      <c r="D139" s="166">
        <v>182984</v>
      </c>
      <c r="E139" s="166">
        <v>740061</v>
      </c>
      <c r="F139" s="166">
        <v>747598</v>
      </c>
      <c r="G139" s="166">
        <v>859363</v>
      </c>
      <c r="H139" s="166">
        <v>888724</v>
      </c>
      <c r="I139" s="167">
        <f t="shared" ref="I139:I146" si="46">IFERROR(H139/G139-1,"-")</f>
        <v>3.4166004354388102E-2</v>
      </c>
      <c r="J139" s="166">
        <f t="shared" si="45"/>
        <v>29361</v>
      </c>
      <c r="K139" s="167">
        <f t="shared" ref="K139:K146" si="47">H139/H$8</f>
        <v>2.5407840286975337E-2</v>
      </c>
      <c r="L139" s="168"/>
    </row>
    <row r="140" spans="1:12" s="58" customFormat="1" x14ac:dyDescent="0.25">
      <c r="A140" s="164"/>
      <c r="B140" s="165" t="s">
        <v>116</v>
      </c>
      <c r="C140" s="166">
        <v>42621</v>
      </c>
      <c r="D140" s="166">
        <v>69325</v>
      </c>
      <c r="E140" s="166">
        <v>132461</v>
      </c>
      <c r="F140" s="166">
        <v>181835</v>
      </c>
      <c r="G140" s="166">
        <v>190230</v>
      </c>
      <c r="H140" s="166">
        <v>189850</v>
      </c>
      <c r="I140" s="167">
        <f t="shared" si="46"/>
        <v>-1.9975818745728846E-3</v>
      </c>
      <c r="J140" s="166">
        <f t="shared" si="45"/>
        <v>-380</v>
      </c>
      <c r="K140" s="167">
        <f t="shared" si="47"/>
        <v>5.4276451164616546E-3</v>
      </c>
      <c r="L140" s="168"/>
    </row>
    <row r="141" spans="1:12" x14ac:dyDescent="0.25">
      <c r="A141" s="164"/>
      <c r="B141" s="165" t="s">
        <v>119</v>
      </c>
      <c r="C141" s="166">
        <v>41260</v>
      </c>
      <c r="D141" s="166">
        <v>94016</v>
      </c>
      <c r="E141" s="166">
        <v>171222</v>
      </c>
      <c r="F141" s="166">
        <v>162480</v>
      </c>
      <c r="G141" s="166">
        <v>166493</v>
      </c>
      <c r="H141" s="166">
        <v>159618</v>
      </c>
      <c r="I141" s="167">
        <f t="shared" si="46"/>
        <v>-4.1293027334482479E-2</v>
      </c>
      <c r="J141" s="166">
        <f t="shared" si="45"/>
        <v>-6875</v>
      </c>
      <c r="K141" s="167">
        <f t="shared" si="47"/>
        <v>4.5633387316269492E-3</v>
      </c>
      <c r="L141" s="81"/>
    </row>
    <row r="142" spans="1:12" x14ac:dyDescent="0.25">
      <c r="A142" s="164"/>
      <c r="B142" s="165" t="s">
        <v>126</v>
      </c>
      <c r="C142" s="166">
        <v>8075</v>
      </c>
      <c r="D142" s="166">
        <v>22357</v>
      </c>
      <c r="E142" s="166">
        <v>60881</v>
      </c>
      <c r="F142" s="166">
        <v>79292</v>
      </c>
      <c r="G142" s="166">
        <v>59046</v>
      </c>
      <c r="H142" s="166">
        <v>57091</v>
      </c>
      <c r="I142" s="167">
        <f t="shared" si="46"/>
        <v>-3.3109778816515889E-2</v>
      </c>
      <c r="J142" s="166">
        <f t="shared" si="45"/>
        <v>-1955</v>
      </c>
      <c r="K142" s="167">
        <f t="shared" si="47"/>
        <v>1.6321816557488139E-3</v>
      </c>
      <c r="L142" s="81"/>
    </row>
    <row r="143" spans="1:12" x14ac:dyDescent="0.25">
      <c r="A143" s="164"/>
      <c r="B143" s="165" t="s">
        <v>122</v>
      </c>
      <c r="C143" s="166">
        <v>11977</v>
      </c>
      <c r="D143" s="166">
        <v>20808</v>
      </c>
      <c r="E143" s="166">
        <v>32138</v>
      </c>
      <c r="F143" s="166">
        <v>41049</v>
      </c>
      <c r="G143" s="166">
        <v>42057</v>
      </c>
      <c r="H143" s="166">
        <v>33352</v>
      </c>
      <c r="I143" s="167">
        <f t="shared" si="46"/>
        <v>-0.2069810019735121</v>
      </c>
      <c r="J143" s="166">
        <f t="shared" si="45"/>
        <v>-8705</v>
      </c>
      <c r="K143" s="167">
        <f t="shared" si="47"/>
        <v>9.5350445048316616E-4</v>
      </c>
      <c r="L143" s="81"/>
    </row>
    <row r="144" spans="1:12" x14ac:dyDescent="0.25">
      <c r="A144" s="164"/>
      <c r="B144" s="165" t="s">
        <v>131</v>
      </c>
      <c r="C144" s="166">
        <v>15360</v>
      </c>
      <c r="D144" s="166">
        <v>9958</v>
      </c>
      <c r="E144" s="166">
        <v>24691</v>
      </c>
      <c r="F144" s="166">
        <v>28175</v>
      </c>
      <c r="G144" s="166">
        <v>26046</v>
      </c>
      <c r="H144" s="166">
        <v>26684</v>
      </c>
      <c r="I144" s="167">
        <f t="shared" si="46"/>
        <v>2.4495124011364444E-2</v>
      </c>
      <c r="J144" s="166">
        <f t="shared" si="45"/>
        <v>638</v>
      </c>
      <c r="K144" s="167">
        <f t="shared" si="47"/>
        <v>7.6287217428318559E-4</v>
      </c>
      <c r="L144" s="81"/>
    </row>
    <row r="145" spans="1:12" x14ac:dyDescent="0.25">
      <c r="A145" s="164" t="s">
        <v>147</v>
      </c>
      <c r="B145" s="165" t="s">
        <v>134</v>
      </c>
      <c r="C145" s="166">
        <v>29483</v>
      </c>
      <c r="D145" s="166">
        <v>6358</v>
      </c>
      <c r="E145" s="166">
        <v>14264</v>
      </c>
      <c r="F145" s="166">
        <v>21389</v>
      </c>
      <c r="G145" s="166">
        <v>19939</v>
      </c>
      <c r="H145" s="166">
        <v>16759</v>
      </c>
      <c r="I145" s="167">
        <f t="shared" si="46"/>
        <v>-0.15948643362254877</v>
      </c>
      <c r="J145" s="166">
        <f t="shared" si="45"/>
        <v>-3180</v>
      </c>
      <c r="K145" s="167">
        <f t="shared" si="47"/>
        <v>4.7912512250082101E-4</v>
      </c>
      <c r="L145" s="81"/>
    </row>
    <row r="146" spans="1:12" x14ac:dyDescent="0.25">
      <c r="A146" s="164" t="s">
        <v>148</v>
      </c>
      <c r="B146" s="170" t="s">
        <v>148</v>
      </c>
      <c r="C146" s="171">
        <f t="shared" ref="C146" si="48">C138-SUM(C139:C145)</f>
        <v>147460</v>
      </c>
      <c r="D146" s="171">
        <f t="shared" ref="D146:H146" si="49">D138-SUM(D139:D145)</f>
        <v>227190</v>
      </c>
      <c r="E146" s="171">
        <f t="shared" si="49"/>
        <v>472180</v>
      </c>
      <c r="F146" s="171">
        <f t="shared" si="49"/>
        <v>513686</v>
      </c>
      <c r="G146" s="171">
        <f t="shared" si="49"/>
        <v>524192</v>
      </c>
      <c r="H146" s="171">
        <f t="shared" si="49"/>
        <v>518460</v>
      </c>
      <c r="I146" s="172">
        <f t="shared" si="46"/>
        <v>-1.0934924607777341E-2</v>
      </c>
      <c r="J146" s="171">
        <f>H146-G146</f>
        <v>-5732</v>
      </c>
      <c r="K146" s="172">
        <f t="shared" si="47"/>
        <v>1.4822317024391411E-2</v>
      </c>
      <c r="L146" s="81"/>
    </row>
    <row r="147" spans="1:12" s="148" customFormat="1" x14ac:dyDescent="0.25">
      <c r="A147" s="164"/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</row>
    <row r="148" spans="1:12" x14ac:dyDescent="0.25">
      <c r="A148" s="164"/>
      <c r="B148" s="158" t="s">
        <v>71</v>
      </c>
      <c r="C148" s="178">
        <v>221799</v>
      </c>
      <c r="D148" s="178">
        <v>320278</v>
      </c>
      <c r="E148" s="178">
        <v>622441</v>
      </c>
      <c r="F148" s="178">
        <v>781228</v>
      </c>
      <c r="G148" s="178">
        <v>735699</v>
      </c>
      <c r="H148" s="178">
        <v>710809</v>
      </c>
      <c r="I148" s="179">
        <f>IFERROR(H148/G148-1,"-")</f>
        <v>-3.3831770873686162E-2</v>
      </c>
      <c r="J148" s="178">
        <f>H148-G148</f>
        <v>-24890</v>
      </c>
      <c r="K148" s="179">
        <f>H148/H$8</f>
        <v>2.0321406360742651E-2</v>
      </c>
      <c r="L148" s="81"/>
    </row>
    <row r="149" spans="1:12" x14ac:dyDescent="0.25">
      <c r="A149" s="164" t="s">
        <v>99</v>
      </c>
      <c r="B149" s="161" t="s">
        <v>100</v>
      </c>
      <c r="C149" s="162">
        <v>84486</v>
      </c>
      <c r="D149" s="162">
        <v>118326</v>
      </c>
      <c r="E149" s="162">
        <v>251371</v>
      </c>
      <c r="F149" s="162">
        <v>299463</v>
      </c>
      <c r="G149" s="162">
        <v>274583</v>
      </c>
      <c r="H149" s="162">
        <v>240923</v>
      </c>
      <c r="I149" s="163">
        <f>IFERROR(H149/G149-1,"-")</f>
        <v>-0.1225858847780088</v>
      </c>
      <c r="J149" s="162">
        <f t="shared" ref="J149:J159" si="50">H149-G149</f>
        <v>-33660</v>
      </c>
      <c r="K149" s="163">
        <f>H149/H$8</f>
        <v>6.8877774263539169E-3</v>
      </c>
      <c r="L149" s="81"/>
    </row>
    <row r="150" spans="1:12" x14ac:dyDescent="0.25">
      <c r="A150" s="164" t="s">
        <v>106</v>
      </c>
      <c r="B150" s="165" t="s">
        <v>106</v>
      </c>
      <c r="C150" s="166">
        <v>40910</v>
      </c>
      <c r="D150" s="166">
        <v>86621</v>
      </c>
      <c r="E150" s="166">
        <v>153781</v>
      </c>
      <c r="F150" s="166">
        <v>212644</v>
      </c>
      <c r="G150" s="166">
        <v>179573</v>
      </c>
      <c r="H150" s="166">
        <v>137217</v>
      </c>
      <c r="I150" s="167">
        <f>IFERROR(H150/G150-1,"-")</f>
        <v>-0.23587064870554042</v>
      </c>
      <c r="J150" s="166">
        <f t="shared" si="50"/>
        <v>-42356</v>
      </c>
      <c r="K150" s="167">
        <f>H150/H$8</f>
        <v>3.9229137737451609E-3</v>
      </c>
      <c r="L150" s="81"/>
    </row>
    <row r="151" spans="1:12" x14ac:dyDescent="0.25">
      <c r="A151" s="164" t="s">
        <v>103</v>
      </c>
      <c r="B151" s="165" t="s">
        <v>103</v>
      </c>
      <c r="C151" s="166">
        <v>43576</v>
      </c>
      <c r="D151" s="166">
        <v>31705</v>
      </c>
      <c r="E151" s="166">
        <v>97590</v>
      </c>
      <c r="F151" s="166">
        <v>86819</v>
      </c>
      <c r="G151" s="166">
        <v>95010</v>
      </c>
      <c r="H151" s="166">
        <v>103706</v>
      </c>
      <c r="I151" s="167">
        <f>IFERROR(H151/G151-1,"-")</f>
        <v>9.1527207662351229E-2</v>
      </c>
      <c r="J151" s="166">
        <f t="shared" si="50"/>
        <v>8696</v>
      </c>
      <c r="K151" s="167">
        <f>H151/H$8</f>
        <v>2.964863652608756E-3</v>
      </c>
      <c r="L151" s="81"/>
    </row>
    <row r="152" spans="1:12" x14ac:dyDescent="0.25">
      <c r="A152" s="164"/>
      <c r="B152" s="161" t="s">
        <v>110</v>
      </c>
      <c r="C152" s="162">
        <v>137313</v>
      </c>
      <c r="D152" s="162">
        <v>201952</v>
      </c>
      <c r="E152" s="162">
        <v>371070</v>
      </c>
      <c r="F152" s="162">
        <v>481765</v>
      </c>
      <c r="G152" s="162">
        <v>461116</v>
      </c>
      <c r="H152" s="162">
        <v>469886</v>
      </c>
      <c r="I152" s="163">
        <f>IFERROR(H152/G152-1,"-")</f>
        <v>1.9019075460404711E-2</v>
      </c>
      <c r="J152" s="162">
        <f t="shared" si="50"/>
        <v>8770</v>
      </c>
      <c r="K152" s="163">
        <f>H152/H$8</f>
        <v>1.3433628934388733E-2</v>
      </c>
      <c r="L152" s="81"/>
    </row>
    <row r="153" spans="1:12" s="58" customFormat="1" x14ac:dyDescent="0.25">
      <c r="A153" s="164"/>
      <c r="B153" s="165" t="s">
        <v>113</v>
      </c>
      <c r="C153" s="166">
        <v>30243</v>
      </c>
      <c r="D153" s="166">
        <v>39412</v>
      </c>
      <c r="E153" s="166">
        <v>136400</v>
      </c>
      <c r="F153" s="166">
        <v>179243</v>
      </c>
      <c r="G153" s="166">
        <v>146131</v>
      </c>
      <c r="H153" s="166">
        <v>103364</v>
      </c>
      <c r="I153" s="167">
        <f t="shared" ref="I153:I160" si="51">IFERROR(H153/G153-1,"-")</f>
        <v>-0.29266206349097723</v>
      </c>
      <c r="J153" s="166">
        <f t="shared" si="50"/>
        <v>-42767</v>
      </c>
      <c r="K153" s="167">
        <f t="shared" ref="K153:K160" si="52">H153/H$8</f>
        <v>2.9550861723357516E-3</v>
      </c>
      <c r="L153" s="168"/>
    </row>
    <row r="154" spans="1:12" s="58" customFormat="1" x14ac:dyDescent="0.25">
      <c r="A154" s="164"/>
      <c r="B154" s="165" t="s">
        <v>116</v>
      </c>
      <c r="C154" s="166">
        <v>49123</v>
      </c>
      <c r="D154" s="166">
        <v>69931</v>
      </c>
      <c r="E154" s="166">
        <v>98479</v>
      </c>
      <c r="F154" s="166">
        <v>105256</v>
      </c>
      <c r="G154" s="166">
        <v>104855</v>
      </c>
      <c r="H154" s="166">
        <v>100398</v>
      </c>
      <c r="I154" s="167">
        <f t="shared" si="51"/>
        <v>-4.2506318249010522E-2</v>
      </c>
      <c r="J154" s="166">
        <f t="shared" si="50"/>
        <v>-4457</v>
      </c>
      <c r="K154" s="167">
        <f t="shared" si="52"/>
        <v>2.8702908317225031E-3</v>
      </c>
      <c r="L154" s="168"/>
    </row>
    <row r="155" spans="1:12" x14ac:dyDescent="0.25">
      <c r="A155" s="164"/>
      <c r="B155" s="165" t="s">
        <v>119</v>
      </c>
      <c r="C155" s="166">
        <v>13885</v>
      </c>
      <c r="D155" s="166">
        <v>26362</v>
      </c>
      <c r="E155" s="166">
        <v>41410</v>
      </c>
      <c r="F155" s="166">
        <v>72199</v>
      </c>
      <c r="G155" s="166">
        <v>71765</v>
      </c>
      <c r="H155" s="166">
        <v>145281</v>
      </c>
      <c r="I155" s="167">
        <f t="shared" si="51"/>
        <v>1.0243990803316381</v>
      </c>
      <c r="J155" s="166">
        <f t="shared" si="50"/>
        <v>73516</v>
      </c>
      <c r="K155" s="167">
        <f t="shared" si="52"/>
        <v>4.1534564664981073E-3</v>
      </c>
      <c r="L155" s="81"/>
    </row>
    <row r="156" spans="1:12" x14ac:dyDescent="0.25">
      <c r="A156" s="164"/>
      <c r="B156" s="165" t="s">
        <v>126</v>
      </c>
      <c r="C156" s="166">
        <v>2558</v>
      </c>
      <c r="D156" s="166">
        <v>4562</v>
      </c>
      <c r="E156" s="166">
        <v>9484</v>
      </c>
      <c r="F156" s="166">
        <v>12559</v>
      </c>
      <c r="G156" s="166">
        <v>15268</v>
      </c>
      <c r="H156" s="166">
        <v>12697</v>
      </c>
      <c r="I156" s="167">
        <f t="shared" si="51"/>
        <v>-0.16839140686402931</v>
      </c>
      <c r="J156" s="166">
        <f t="shared" si="50"/>
        <v>-2571</v>
      </c>
      <c r="K156" s="167">
        <f t="shared" si="52"/>
        <v>3.6299610241618977E-4</v>
      </c>
      <c r="L156" s="81"/>
    </row>
    <row r="157" spans="1:12" x14ac:dyDescent="0.25">
      <c r="A157" s="164"/>
      <c r="B157" s="165" t="s">
        <v>122</v>
      </c>
      <c r="C157" s="166">
        <v>9309</v>
      </c>
      <c r="D157" s="166">
        <v>13772</v>
      </c>
      <c r="E157" s="166">
        <v>27289</v>
      </c>
      <c r="F157" s="166">
        <v>21390</v>
      </c>
      <c r="G157" s="166">
        <v>24668</v>
      </c>
      <c r="H157" s="166">
        <v>18666</v>
      </c>
      <c r="I157" s="167">
        <f t="shared" si="51"/>
        <v>-0.24331117236906108</v>
      </c>
      <c r="J157" s="166">
        <f t="shared" si="50"/>
        <v>-6002</v>
      </c>
      <c r="K157" s="167">
        <f t="shared" si="52"/>
        <v>5.3364458121608243E-4</v>
      </c>
      <c r="L157" s="81"/>
    </row>
    <row r="158" spans="1:12" x14ac:dyDescent="0.25">
      <c r="A158" s="164"/>
      <c r="B158" s="165" t="s">
        <v>131</v>
      </c>
      <c r="C158" s="166">
        <v>2834</v>
      </c>
      <c r="D158" s="166">
        <v>1823</v>
      </c>
      <c r="E158" s="166">
        <v>2563</v>
      </c>
      <c r="F158" s="166">
        <v>4469</v>
      </c>
      <c r="G158" s="166">
        <v>3399</v>
      </c>
      <c r="H158" s="166">
        <v>2519</v>
      </c>
      <c r="I158" s="167">
        <f t="shared" si="51"/>
        <v>-0.25889967637540456</v>
      </c>
      <c r="J158" s="166">
        <f t="shared" si="50"/>
        <v>-880</v>
      </c>
      <c r="K158" s="167">
        <f t="shared" si="52"/>
        <v>7.2016002361690321E-5</v>
      </c>
      <c r="L158" s="81"/>
    </row>
    <row r="159" spans="1:12" x14ac:dyDescent="0.25">
      <c r="A159" s="164" t="s">
        <v>147</v>
      </c>
      <c r="B159" s="165" t="s">
        <v>134</v>
      </c>
      <c r="C159" s="166">
        <v>3783</v>
      </c>
      <c r="D159" s="166">
        <v>2712</v>
      </c>
      <c r="E159" s="166">
        <v>4129</v>
      </c>
      <c r="F159" s="166">
        <v>6277</v>
      </c>
      <c r="G159" s="166">
        <v>5327</v>
      </c>
      <c r="H159" s="166">
        <v>4164</v>
      </c>
      <c r="I159" s="167">
        <f t="shared" si="51"/>
        <v>-0.21832175708654022</v>
      </c>
      <c r="J159" s="166">
        <f t="shared" si="50"/>
        <v>-1163</v>
      </c>
      <c r="K159" s="167">
        <f t="shared" si="52"/>
        <v>1.190451106923694E-4</v>
      </c>
      <c r="L159" s="81"/>
    </row>
    <row r="160" spans="1:12" x14ac:dyDescent="0.25">
      <c r="A160" s="164" t="s">
        <v>148</v>
      </c>
      <c r="B160" s="170" t="s">
        <v>148</v>
      </c>
      <c r="C160" s="171">
        <f t="shared" ref="C160" si="53">C152-SUM(C153:C159)</f>
        <v>25578</v>
      </c>
      <c r="D160" s="171">
        <f t="shared" ref="D160:H160" si="54">D152-SUM(D153:D159)</f>
        <v>43378</v>
      </c>
      <c r="E160" s="171">
        <f t="shared" si="54"/>
        <v>51316</v>
      </c>
      <c r="F160" s="171">
        <f t="shared" si="54"/>
        <v>80372</v>
      </c>
      <c r="G160" s="171">
        <f t="shared" si="54"/>
        <v>89703</v>
      </c>
      <c r="H160" s="171">
        <f t="shared" si="54"/>
        <v>82797</v>
      </c>
      <c r="I160" s="172">
        <f t="shared" si="51"/>
        <v>-7.6987391726029197E-2</v>
      </c>
      <c r="J160" s="171">
        <f>H160-G160</f>
        <v>-6906</v>
      </c>
      <c r="K160" s="172">
        <f t="shared" si="52"/>
        <v>2.3670936671460396E-3</v>
      </c>
      <c r="L160" s="81"/>
    </row>
    <row r="161" spans="2:14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</row>
    <row r="162" spans="2:14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</row>
  </sheetData>
  <mergeCells count="2">
    <mergeCell ref="B3:K3"/>
    <mergeCell ref="C5:K5"/>
  </mergeCells>
  <pageMargins left="0.25" right="0.25" top="0.75" bottom="0.75" header="0.3" footer="0.3"/>
  <pageSetup paperSize="9"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825AA-D27F-4548-91FE-F60A78FAFE34}">
  <sheetPr>
    <tabColor theme="8" tint="0.59999389629810485"/>
  </sheetPr>
  <dimension ref="B1:P220"/>
  <sheetViews>
    <sheetView showGridLines="0" zoomScaleNormal="100" workbookViewId="0">
      <selection activeCell="H9" sqref="H9"/>
    </sheetView>
  </sheetViews>
  <sheetFormatPr baseColWidth="10" defaultColWidth="11.42578125" defaultRowHeight="15" x14ac:dyDescent="0.25"/>
  <cols>
    <col min="2" max="2" width="11.42578125" customWidth="1"/>
    <col min="3" max="3" width="16.85546875" customWidth="1"/>
    <col min="4" max="4" width="26.85546875" customWidth="1"/>
    <col min="5" max="5" width="11.5703125" customWidth="1"/>
  </cols>
  <sheetData>
    <row r="1" spans="2:16" x14ac:dyDescent="0.25">
      <c r="D1" s="299" t="s">
        <v>43</v>
      </c>
      <c r="E1" s="299"/>
      <c r="F1" s="299"/>
      <c r="G1" s="299"/>
      <c r="H1" s="299"/>
      <c r="I1" s="299"/>
      <c r="J1" s="299"/>
      <c r="K1" s="299"/>
      <c r="L1" s="299"/>
    </row>
    <row r="2" spans="2:16" x14ac:dyDescent="0.25">
      <c r="D2" s="299"/>
      <c r="E2" s="299"/>
      <c r="F2" s="299"/>
      <c r="G2" s="299"/>
      <c r="H2" s="299"/>
      <c r="I2" s="299"/>
      <c r="J2" s="299"/>
      <c r="K2" s="299"/>
      <c r="L2" s="299"/>
    </row>
    <row r="4" spans="2:16" ht="21.75" customHeight="1" thickBot="1" x14ac:dyDescent="0.3">
      <c r="C4" s="64" t="s">
        <v>44</v>
      </c>
      <c r="D4" s="64"/>
      <c r="E4" s="64"/>
      <c r="F4" s="64"/>
      <c r="G4" s="64"/>
      <c r="H4" s="64"/>
      <c r="I4" s="64"/>
      <c r="J4" s="64"/>
      <c r="K4" s="64"/>
      <c r="L4" s="64"/>
    </row>
    <row r="5" spans="2:16" ht="7.5" customHeight="1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6" ht="45" x14ac:dyDescent="0.25">
      <c r="B6" s="4"/>
      <c r="C6" s="4"/>
      <c r="D6" s="4"/>
      <c r="E6" s="13" t="s">
        <v>231</v>
      </c>
      <c r="F6" s="13" t="s">
        <v>232</v>
      </c>
      <c r="G6" s="13" t="s">
        <v>233</v>
      </c>
      <c r="H6" s="13" t="s">
        <v>234</v>
      </c>
      <c r="I6" s="13" t="s">
        <v>235</v>
      </c>
      <c r="J6" s="14" t="str">
        <f>CONCATENATE("var. ",RIGHT(I6,2),"/",RIGHT(H6,2))</f>
        <v>var. 25/24</v>
      </c>
      <c r="K6" s="14" t="str">
        <f>CONCATENATE("dif. ",RIGHT(I6,2),"/",RIGHT(H6,2))</f>
        <v>dif. 25/24</v>
      </c>
      <c r="L6" s="14" t="str">
        <f>CONCATENATE("cuota ",I6)</f>
        <v>cuota diciembre 2025</v>
      </c>
    </row>
    <row r="7" spans="2:16" ht="15" customHeight="1" x14ac:dyDescent="0.25">
      <c r="B7" s="296" t="s">
        <v>45</v>
      </c>
      <c r="C7" s="286" t="s">
        <v>8</v>
      </c>
      <c r="D7" s="65" t="s">
        <v>46</v>
      </c>
      <c r="E7" s="66">
        <v>313914</v>
      </c>
      <c r="F7" s="66">
        <v>423458</v>
      </c>
      <c r="G7" s="66">
        <v>434399</v>
      </c>
      <c r="H7" s="66">
        <v>444661</v>
      </c>
      <c r="I7" s="66">
        <v>439399</v>
      </c>
      <c r="J7" s="67">
        <f>I7/H7-1</f>
        <v>-1.1833734013102171E-2</v>
      </c>
      <c r="K7" s="66">
        <f>I7-H7</f>
        <v>-5262</v>
      </c>
      <c r="L7" s="67">
        <f>I7/$I$7</f>
        <v>1</v>
      </c>
      <c r="P7" s="68"/>
    </row>
    <row r="8" spans="2:16" ht="15" customHeight="1" x14ac:dyDescent="0.25">
      <c r="B8" s="284"/>
      <c r="C8" s="287"/>
      <c r="D8" s="15" t="s">
        <v>47</v>
      </c>
      <c r="E8" s="16">
        <v>114122</v>
      </c>
      <c r="F8" s="16">
        <v>153975</v>
      </c>
      <c r="G8" s="16">
        <v>161770</v>
      </c>
      <c r="H8" s="16">
        <v>159454</v>
      </c>
      <c r="I8" s="16">
        <v>155221</v>
      </c>
      <c r="J8" s="17">
        <f t="shared" ref="J8:J63" si="0">I8/H8-1</f>
        <v>-2.6546841095237528E-2</v>
      </c>
      <c r="K8" s="16">
        <f t="shared" ref="K8:K50" si="1">I8-H8</f>
        <v>-4233</v>
      </c>
      <c r="L8" s="18">
        <f t="shared" ref="L8:L17" si="2">I8/$I$7</f>
        <v>0.35325751765479668</v>
      </c>
      <c r="P8" s="68"/>
    </row>
    <row r="9" spans="2:16" x14ac:dyDescent="0.25">
      <c r="B9" s="284"/>
      <c r="C9" s="287"/>
      <c r="D9" s="19" t="s">
        <v>48</v>
      </c>
      <c r="E9" s="20">
        <v>78855</v>
      </c>
      <c r="F9" s="20">
        <v>108917</v>
      </c>
      <c r="G9" s="20">
        <v>111619</v>
      </c>
      <c r="H9" s="20">
        <v>115450</v>
      </c>
      <c r="I9" s="20">
        <v>110730</v>
      </c>
      <c r="J9" s="69">
        <f t="shared" si="0"/>
        <v>-4.0883499350368169E-2</v>
      </c>
      <c r="K9" s="20">
        <f t="shared" si="1"/>
        <v>-4720</v>
      </c>
      <c r="L9" s="70">
        <f t="shared" si="2"/>
        <v>0.25200330451366526</v>
      </c>
      <c r="P9" s="68"/>
    </row>
    <row r="10" spans="2:16" x14ac:dyDescent="0.25">
      <c r="B10" s="284"/>
      <c r="C10" s="287"/>
      <c r="D10" s="19" t="s">
        <v>49</v>
      </c>
      <c r="E10" s="20">
        <v>2479</v>
      </c>
      <c r="F10" s="20">
        <v>4675</v>
      </c>
      <c r="G10" s="20">
        <v>5492</v>
      </c>
      <c r="H10" s="20">
        <v>4480</v>
      </c>
      <c r="I10" s="20">
        <v>3504</v>
      </c>
      <c r="J10" s="69">
        <f t="shared" si="0"/>
        <v>-0.21785714285714286</v>
      </c>
      <c r="K10" s="20">
        <f t="shared" si="1"/>
        <v>-976</v>
      </c>
      <c r="L10" s="70">
        <f t="shared" si="2"/>
        <v>7.9745288450815775E-3</v>
      </c>
      <c r="P10" s="68"/>
    </row>
    <row r="11" spans="2:16" x14ac:dyDescent="0.25">
      <c r="B11" s="284"/>
      <c r="C11" s="287"/>
      <c r="D11" s="19" t="s">
        <v>50</v>
      </c>
      <c r="E11" s="20">
        <v>9493</v>
      </c>
      <c r="F11" s="20">
        <v>14121</v>
      </c>
      <c r="G11" s="20">
        <v>12492</v>
      </c>
      <c r="H11" s="20">
        <v>15575</v>
      </c>
      <c r="I11" s="20">
        <v>15082</v>
      </c>
      <c r="J11" s="69">
        <f t="shared" si="0"/>
        <v>-3.1653290529695011E-2</v>
      </c>
      <c r="K11" s="20">
        <f t="shared" si="1"/>
        <v>-493</v>
      </c>
      <c r="L11" s="70">
        <f t="shared" si="2"/>
        <v>3.4324156404543477E-2</v>
      </c>
      <c r="P11" s="68"/>
    </row>
    <row r="12" spans="2:16" x14ac:dyDescent="0.25">
      <c r="B12" s="284"/>
      <c r="C12" s="287"/>
      <c r="D12" s="19" t="s">
        <v>51</v>
      </c>
      <c r="E12" s="20">
        <v>44151</v>
      </c>
      <c r="F12" s="20">
        <v>61100</v>
      </c>
      <c r="G12" s="20">
        <v>62539</v>
      </c>
      <c r="H12" s="20">
        <v>67921</v>
      </c>
      <c r="I12" s="20">
        <v>70034</v>
      </c>
      <c r="J12" s="69">
        <f t="shared" si="0"/>
        <v>3.1109671530159977E-2</v>
      </c>
      <c r="K12" s="20">
        <f t="shared" si="1"/>
        <v>2113</v>
      </c>
      <c r="L12" s="70">
        <f t="shared" si="2"/>
        <v>0.15938588845218127</v>
      </c>
      <c r="P12" s="68"/>
    </row>
    <row r="13" spans="2:16" x14ac:dyDescent="0.25">
      <c r="B13" s="284"/>
      <c r="C13" s="287"/>
      <c r="D13" s="19" t="s">
        <v>52</v>
      </c>
      <c r="E13" s="20">
        <v>4543</v>
      </c>
      <c r="F13" s="20">
        <v>5166</v>
      </c>
      <c r="G13" s="20">
        <v>4585</v>
      </c>
      <c r="H13" s="20">
        <v>5228</v>
      </c>
      <c r="I13" s="20">
        <v>5221</v>
      </c>
      <c r="J13" s="69">
        <f t="shared" si="0"/>
        <v>-1.3389441469012775E-3</v>
      </c>
      <c r="K13" s="20">
        <f t="shared" si="1"/>
        <v>-7</v>
      </c>
      <c r="L13" s="70">
        <f t="shared" si="2"/>
        <v>1.1882139012605855E-2</v>
      </c>
      <c r="P13" s="68"/>
    </row>
    <row r="14" spans="2:16" x14ac:dyDescent="0.25">
      <c r="B14" s="284"/>
      <c r="C14" s="287"/>
      <c r="D14" s="19" t="s">
        <v>53</v>
      </c>
      <c r="E14" s="20">
        <v>13338</v>
      </c>
      <c r="F14" s="20">
        <v>17905</v>
      </c>
      <c r="G14" s="20">
        <v>20333</v>
      </c>
      <c r="H14" s="20">
        <v>18315</v>
      </c>
      <c r="I14" s="20">
        <v>21025</v>
      </c>
      <c r="J14" s="69">
        <f t="shared" si="0"/>
        <v>0.14796614796614804</v>
      </c>
      <c r="K14" s="20">
        <f t="shared" si="1"/>
        <v>2710</v>
      </c>
      <c r="L14" s="70">
        <f t="shared" si="2"/>
        <v>4.7849448906347077E-2</v>
      </c>
      <c r="P14" s="68"/>
    </row>
    <row r="15" spans="2:16" x14ac:dyDescent="0.25">
      <c r="B15" s="284"/>
      <c r="C15" s="287"/>
      <c r="D15" s="19" t="s">
        <v>54</v>
      </c>
      <c r="E15" s="20">
        <v>18198</v>
      </c>
      <c r="F15" s="20">
        <v>23965</v>
      </c>
      <c r="G15" s="20">
        <v>20577</v>
      </c>
      <c r="H15" s="20">
        <v>24629</v>
      </c>
      <c r="I15" s="20">
        <v>26233</v>
      </c>
      <c r="J15" s="69">
        <f t="shared" si="0"/>
        <v>6.5126476917455101E-2</v>
      </c>
      <c r="K15" s="20">
        <f t="shared" si="1"/>
        <v>1604</v>
      </c>
      <c r="L15" s="70">
        <f t="shared" si="2"/>
        <v>5.9702002052803946E-2</v>
      </c>
      <c r="P15" s="68"/>
    </row>
    <row r="16" spans="2:16" x14ac:dyDescent="0.25">
      <c r="B16" s="284"/>
      <c r="C16" s="287"/>
      <c r="D16" s="19" t="s">
        <v>55</v>
      </c>
      <c r="E16" s="20">
        <v>19784</v>
      </c>
      <c r="F16" s="20">
        <v>23285</v>
      </c>
      <c r="G16" s="20">
        <v>24142</v>
      </c>
      <c r="H16" s="20">
        <v>23290</v>
      </c>
      <c r="I16" s="20">
        <v>24074</v>
      </c>
      <c r="J16" s="69">
        <f t="shared" si="0"/>
        <v>3.3662516101331086E-2</v>
      </c>
      <c r="K16" s="20">
        <f t="shared" si="1"/>
        <v>784</v>
      </c>
      <c r="L16" s="70">
        <f t="shared" si="2"/>
        <v>5.4788472436214007E-2</v>
      </c>
      <c r="P16" s="68"/>
    </row>
    <row r="17" spans="2:16" x14ac:dyDescent="0.25">
      <c r="B17" s="284"/>
      <c r="C17" s="288"/>
      <c r="D17" s="23" t="s">
        <v>56</v>
      </c>
      <c r="E17" s="71">
        <v>8951</v>
      </c>
      <c r="F17" s="71">
        <v>10349</v>
      </c>
      <c r="G17" s="71">
        <v>10850</v>
      </c>
      <c r="H17" s="71">
        <v>10319</v>
      </c>
      <c r="I17" s="71">
        <v>8275</v>
      </c>
      <c r="J17" s="25">
        <f t="shared" si="0"/>
        <v>-0.19808120941951735</v>
      </c>
      <c r="K17" s="71">
        <f t="shared" si="1"/>
        <v>-2044</v>
      </c>
      <c r="L17" s="48">
        <f t="shared" si="2"/>
        <v>1.8832541721760861E-2</v>
      </c>
      <c r="P17" s="68"/>
    </row>
    <row r="18" spans="2:16" x14ac:dyDescent="0.25">
      <c r="B18" s="284"/>
      <c r="C18" s="289" t="s">
        <v>18</v>
      </c>
      <c r="D18" s="65" t="s">
        <v>46</v>
      </c>
      <c r="E18" s="66">
        <v>370663</v>
      </c>
      <c r="F18" s="66">
        <v>494720</v>
      </c>
      <c r="G18" s="66">
        <v>510044</v>
      </c>
      <c r="H18" s="66">
        <v>517738</v>
      </c>
      <c r="I18" s="66">
        <v>513220</v>
      </c>
      <c r="J18" s="67">
        <f t="shared" si="0"/>
        <v>-8.7264214718641986E-3</v>
      </c>
      <c r="K18" s="66">
        <f t="shared" si="1"/>
        <v>-4518</v>
      </c>
      <c r="L18" s="67">
        <f t="shared" ref="L18:L19" si="3">I18/$I$18</f>
        <v>1</v>
      </c>
    </row>
    <row r="19" spans="2:16" x14ac:dyDescent="0.25">
      <c r="B19" s="284"/>
      <c r="C19" s="290"/>
      <c r="D19" s="26" t="s">
        <v>47</v>
      </c>
      <c r="E19" s="27">
        <v>138324</v>
      </c>
      <c r="F19" s="27">
        <v>183582</v>
      </c>
      <c r="G19" s="27">
        <v>191226</v>
      </c>
      <c r="H19" s="27">
        <v>188893</v>
      </c>
      <c r="I19" s="27">
        <v>184725</v>
      </c>
      <c r="J19" s="28">
        <f t="shared" si="0"/>
        <v>-2.2065402105954202E-2</v>
      </c>
      <c r="K19" s="27">
        <f t="shared" si="1"/>
        <v>-4168</v>
      </c>
      <c r="L19" s="18">
        <f t="shared" si="3"/>
        <v>0.35993336191107128</v>
      </c>
    </row>
    <row r="20" spans="2:16" x14ac:dyDescent="0.25">
      <c r="B20" s="284"/>
      <c r="C20" s="290"/>
      <c r="D20" s="4" t="s">
        <v>48</v>
      </c>
      <c r="E20" s="29">
        <v>95019</v>
      </c>
      <c r="F20" s="29">
        <v>129320</v>
      </c>
      <c r="G20" s="29">
        <v>133580</v>
      </c>
      <c r="H20" s="29">
        <v>136620</v>
      </c>
      <c r="I20" s="29">
        <v>131894</v>
      </c>
      <c r="J20" s="72">
        <f t="shared" si="0"/>
        <v>-3.459229980969114E-2</v>
      </c>
      <c r="K20" s="29">
        <f t="shared" si="1"/>
        <v>-4726</v>
      </c>
      <c r="L20" s="70">
        <f>I20/$I$18</f>
        <v>0.25699310237325124</v>
      </c>
    </row>
    <row r="21" spans="2:16" x14ac:dyDescent="0.25">
      <c r="B21" s="284"/>
      <c r="C21" s="290"/>
      <c r="D21" s="4" t="s">
        <v>49</v>
      </c>
      <c r="E21" s="29">
        <v>2907</v>
      </c>
      <c r="F21" s="29">
        <v>5119</v>
      </c>
      <c r="G21" s="29">
        <v>5933</v>
      </c>
      <c r="H21" s="29">
        <v>4890</v>
      </c>
      <c r="I21" s="29">
        <v>3918</v>
      </c>
      <c r="J21" s="72">
        <f t="shared" si="0"/>
        <v>-0.19877300613496929</v>
      </c>
      <c r="K21" s="29">
        <f t="shared" si="1"/>
        <v>-972</v>
      </c>
      <c r="L21" s="70">
        <f t="shared" ref="L21:L28" si="4">I21/$I$18</f>
        <v>7.6341529948170377E-3</v>
      </c>
    </row>
    <row r="22" spans="2:16" x14ac:dyDescent="0.25">
      <c r="B22" s="284"/>
      <c r="C22" s="290"/>
      <c r="D22" s="4" t="s">
        <v>50</v>
      </c>
      <c r="E22" s="29">
        <v>10801</v>
      </c>
      <c r="F22" s="29">
        <v>15987</v>
      </c>
      <c r="G22" s="29">
        <v>14525</v>
      </c>
      <c r="H22" s="29">
        <v>17482</v>
      </c>
      <c r="I22" s="29">
        <v>17177</v>
      </c>
      <c r="J22" s="72">
        <f t="shared" si="0"/>
        <v>-1.7446516416885993E-2</v>
      </c>
      <c r="K22" s="29">
        <f t="shared" si="1"/>
        <v>-305</v>
      </c>
      <c r="L22" s="70">
        <f t="shared" si="4"/>
        <v>3.3469077588558514E-2</v>
      </c>
    </row>
    <row r="23" spans="2:16" x14ac:dyDescent="0.25">
      <c r="B23" s="284"/>
      <c r="C23" s="290"/>
      <c r="D23" s="4" t="s">
        <v>51</v>
      </c>
      <c r="E23" s="29">
        <v>51089</v>
      </c>
      <c r="F23" s="29">
        <v>71326</v>
      </c>
      <c r="G23" s="29">
        <v>74452</v>
      </c>
      <c r="H23" s="29">
        <v>79840</v>
      </c>
      <c r="I23" s="29">
        <v>81833</v>
      </c>
      <c r="J23" s="72">
        <f t="shared" si="0"/>
        <v>2.4962424849699349E-2</v>
      </c>
      <c r="K23" s="29">
        <f t="shared" si="1"/>
        <v>1993</v>
      </c>
      <c r="L23" s="70">
        <f t="shared" si="4"/>
        <v>0.1594501383422314</v>
      </c>
    </row>
    <row r="24" spans="2:16" x14ac:dyDescent="0.25">
      <c r="B24" s="284"/>
      <c r="C24" s="290"/>
      <c r="D24" s="4" t="s">
        <v>52</v>
      </c>
      <c r="E24" s="29">
        <v>4794</v>
      </c>
      <c r="F24" s="29">
        <v>5361</v>
      </c>
      <c r="G24" s="29">
        <v>4792</v>
      </c>
      <c r="H24" s="29">
        <v>5436</v>
      </c>
      <c r="I24" s="29">
        <v>5469</v>
      </c>
      <c r="J24" s="72">
        <f t="shared" si="0"/>
        <v>6.070640176600417E-3</v>
      </c>
      <c r="K24" s="29">
        <f t="shared" si="1"/>
        <v>33</v>
      </c>
      <c r="L24" s="70">
        <f t="shared" si="4"/>
        <v>1.0656248782198667E-2</v>
      </c>
    </row>
    <row r="25" spans="2:16" x14ac:dyDescent="0.25">
      <c r="B25" s="284"/>
      <c r="C25" s="290"/>
      <c r="D25" s="4" t="s">
        <v>53</v>
      </c>
      <c r="E25" s="29">
        <v>15768</v>
      </c>
      <c r="F25" s="29">
        <v>20517</v>
      </c>
      <c r="G25" s="29">
        <v>23002</v>
      </c>
      <c r="H25" s="29">
        <v>20336</v>
      </c>
      <c r="I25" s="29">
        <v>23286</v>
      </c>
      <c r="J25" s="72">
        <f t="shared" si="0"/>
        <v>0.14506294256490948</v>
      </c>
      <c r="K25" s="29">
        <f t="shared" si="1"/>
        <v>2950</v>
      </c>
      <c r="L25" s="70">
        <f t="shared" si="4"/>
        <v>4.5372354935505239E-2</v>
      </c>
    </row>
    <row r="26" spans="2:16" x14ac:dyDescent="0.25">
      <c r="B26" s="284"/>
      <c r="C26" s="290"/>
      <c r="D26" s="4" t="s">
        <v>54</v>
      </c>
      <c r="E26" s="29">
        <v>19039</v>
      </c>
      <c r="F26" s="29">
        <v>24713</v>
      </c>
      <c r="G26" s="29">
        <v>21639</v>
      </c>
      <c r="H26" s="29">
        <v>25345</v>
      </c>
      <c r="I26" s="29">
        <v>26933</v>
      </c>
      <c r="J26" s="72">
        <f t="shared" si="0"/>
        <v>6.2655356086013025E-2</v>
      </c>
      <c r="K26" s="29">
        <f t="shared" si="1"/>
        <v>1588</v>
      </c>
      <c r="L26" s="70">
        <f t="shared" si="4"/>
        <v>5.2478469272436774E-2</v>
      </c>
    </row>
    <row r="27" spans="2:16" x14ac:dyDescent="0.25">
      <c r="B27" s="284"/>
      <c r="C27" s="290"/>
      <c r="D27" s="4" t="s">
        <v>55</v>
      </c>
      <c r="E27" s="29">
        <v>22793</v>
      </c>
      <c r="F27" s="29">
        <v>26785</v>
      </c>
      <c r="G27" s="29">
        <v>28220</v>
      </c>
      <c r="H27" s="29">
        <v>27164</v>
      </c>
      <c r="I27" s="29">
        <v>28492</v>
      </c>
      <c r="J27" s="30">
        <f t="shared" si="0"/>
        <v>4.8888234427919341E-2</v>
      </c>
      <c r="K27" s="29">
        <f t="shared" si="1"/>
        <v>1328</v>
      </c>
      <c r="L27" s="31">
        <f t="shared" si="4"/>
        <v>5.5516152916877753E-2</v>
      </c>
    </row>
    <row r="28" spans="2:16" x14ac:dyDescent="0.25">
      <c r="B28" s="284"/>
      <c r="C28" s="291"/>
      <c r="D28" s="32" t="s">
        <v>56</v>
      </c>
      <c r="E28" s="73">
        <v>10129</v>
      </c>
      <c r="F28" s="73">
        <v>12010</v>
      </c>
      <c r="G28" s="73">
        <v>12675</v>
      </c>
      <c r="H28" s="73">
        <v>11732</v>
      </c>
      <c r="I28" s="73">
        <v>9493</v>
      </c>
      <c r="J28" s="34">
        <f t="shared" si="0"/>
        <v>-0.19084555063075348</v>
      </c>
      <c r="K28" s="73">
        <f t="shared" si="1"/>
        <v>-2239</v>
      </c>
      <c r="L28" s="74">
        <f t="shared" si="4"/>
        <v>1.8496940883052104E-2</v>
      </c>
    </row>
    <row r="29" spans="2:16" x14ac:dyDescent="0.25">
      <c r="B29" s="284"/>
      <c r="C29" s="286" t="s">
        <v>22</v>
      </c>
      <c r="D29" s="65" t="s">
        <v>46</v>
      </c>
      <c r="E29" s="66">
        <v>2093338</v>
      </c>
      <c r="F29" s="66">
        <v>2818920</v>
      </c>
      <c r="G29" s="66">
        <v>2932508</v>
      </c>
      <c r="H29" s="66">
        <v>2933977</v>
      </c>
      <c r="I29" s="66">
        <v>2852822</v>
      </c>
      <c r="J29" s="67">
        <f t="shared" si="0"/>
        <v>-2.7660407699174216E-2</v>
      </c>
      <c r="K29" s="66">
        <f t="shared" si="1"/>
        <v>-81155</v>
      </c>
      <c r="L29" s="67">
        <f t="shared" ref="L29:L30" si="5">I29/$I$29</f>
        <v>1</v>
      </c>
    </row>
    <row r="30" spans="2:16" x14ac:dyDescent="0.25">
      <c r="B30" s="284"/>
      <c r="C30" s="287"/>
      <c r="D30" s="15" t="s">
        <v>47</v>
      </c>
      <c r="E30" s="16">
        <v>829853</v>
      </c>
      <c r="F30" s="16">
        <v>1109322</v>
      </c>
      <c r="G30" s="16">
        <v>1155840</v>
      </c>
      <c r="H30" s="16">
        <v>1140612</v>
      </c>
      <c r="I30" s="16">
        <v>1104771</v>
      </c>
      <c r="J30" s="17">
        <f t="shared" si="0"/>
        <v>-3.14226047069468E-2</v>
      </c>
      <c r="K30" s="16">
        <f t="shared" si="1"/>
        <v>-35841</v>
      </c>
      <c r="L30" s="18">
        <f t="shared" si="5"/>
        <v>0.38725549648733781</v>
      </c>
    </row>
    <row r="31" spans="2:16" x14ac:dyDescent="0.25">
      <c r="B31" s="284"/>
      <c r="C31" s="287"/>
      <c r="D31" s="19" t="s">
        <v>48</v>
      </c>
      <c r="E31" s="20">
        <v>579557</v>
      </c>
      <c r="F31" s="20">
        <v>790311</v>
      </c>
      <c r="G31" s="20">
        <v>831777</v>
      </c>
      <c r="H31" s="20">
        <v>834955</v>
      </c>
      <c r="I31" s="20">
        <v>802051</v>
      </c>
      <c r="J31" s="69">
        <f>I31/H31-1</f>
        <v>-3.9408111814409175E-2</v>
      </c>
      <c r="K31" s="20">
        <f t="shared" si="1"/>
        <v>-32904</v>
      </c>
      <c r="L31" s="70">
        <f>I31/$I$29</f>
        <v>0.2811430225930675</v>
      </c>
    </row>
    <row r="32" spans="2:16" x14ac:dyDescent="0.25">
      <c r="B32" s="284"/>
      <c r="C32" s="287"/>
      <c r="D32" s="19" t="s">
        <v>49</v>
      </c>
      <c r="E32" s="20">
        <v>14831</v>
      </c>
      <c r="F32" s="20">
        <v>18070</v>
      </c>
      <c r="G32" s="20">
        <v>19927</v>
      </c>
      <c r="H32" s="20">
        <v>18514</v>
      </c>
      <c r="I32" s="20">
        <v>17246</v>
      </c>
      <c r="J32" s="69">
        <f t="shared" ref="J32:J41" si="6">I32/H32-1</f>
        <v>-6.8488711245543898E-2</v>
      </c>
      <c r="K32" s="20">
        <f t="shared" si="1"/>
        <v>-1268</v>
      </c>
      <c r="L32" s="70">
        <f t="shared" ref="L32:L39" si="7">I32/$I$29</f>
        <v>6.0452422198090175E-3</v>
      </c>
    </row>
    <row r="33" spans="2:12" x14ac:dyDescent="0.25">
      <c r="B33" s="284"/>
      <c r="C33" s="287"/>
      <c r="D33" s="19" t="s">
        <v>50</v>
      </c>
      <c r="E33" s="20">
        <v>57766</v>
      </c>
      <c r="F33" s="20">
        <v>92826</v>
      </c>
      <c r="G33" s="20">
        <v>71642</v>
      </c>
      <c r="H33" s="20">
        <v>86200</v>
      </c>
      <c r="I33" s="20">
        <v>85017</v>
      </c>
      <c r="J33" s="69">
        <f t="shared" si="6"/>
        <v>-1.3723897911832927E-2</v>
      </c>
      <c r="K33" s="20">
        <f t="shared" si="1"/>
        <v>-1183</v>
      </c>
      <c r="L33" s="70">
        <f t="shared" si="7"/>
        <v>2.9801018079641844E-2</v>
      </c>
    </row>
    <row r="34" spans="2:12" x14ac:dyDescent="0.25">
      <c r="B34" s="284"/>
      <c r="C34" s="287"/>
      <c r="D34" s="19" t="s">
        <v>51</v>
      </c>
      <c r="E34" s="20">
        <v>284082</v>
      </c>
      <c r="F34" s="20">
        <v>410037</v>
      </c>
      <c r="G34" s="20">
        <v>440835</v>
      </c>
      <c r="H34" s="20">
        <v>468874</v>
      </c>
      <c r="I34" s="20">
        <v>456509</v>
      </c>
      <c r="J34" s="69">
        <f t="shared" si="6"/>
        <v>-2.6371690475479603E-2</v>
      </c>
      <c r="K34" s="20">
        <f t="shared" si="1"/>
        <v>-12365</v>
      </c>
      <c r="L34" s="70">
        <f t="shared" si="7"/>
        <v>0.16002014847053198</v>
      </c>
    </row>
    <row r="35" spans="2:12" x14ac:dyDescent="0.25">
      <c r="B35" s="284"/>
      <c r="C35" s="287"/>
      <c r="D35" s="19" t="s">
        <v>52</v>
      </c>
      <c r="E35" s="20">
        <v>11200</v>
      </c>
      <c r="F35" s="20">
        <v>12114</v>
      </c>
      <c r="G35" s="20">
        <v>11864</v>
      </c>
      <c r="H35" s="20">
        <v>13319</v>
      </c>
      <c r="I35" s="20">
        <v>13103</v>
      </c>
      <c r="J35" s="69">
        <f t="shared" si="6"/>
        <v>-1.6217433741271825E-2</v>
      </c>
      <c r="K35" s="20">
        <f t="shared" si="1"/>
        <v>-216</v>
      </c>
      <c r="L35" s="70">
        <f t="shared" si="7"/>
        <v>4.5929959878323991E-3</v>
      </c>
    </row>
    <row r="36" spans="2:12" x14ac:dyDescent="0.25">
      <c r="B36" s="284"/>
      <c r="C36" s="287"/>
      <c r="D36" s="19" t="s">
        <v>53</v>
      </c>
      <c r="E36" s="20">
        <v>96818</v>
      </c>
      <c r="F36" s="20">
        <v>108987</v>
      </c>
      <c r="G36" s="20">
        <v>119696</v>
      </c>
      <c r="H36" s="20">
        <v>97837</v>
      </c>
      <c r="I36" s="20">
        <v>108317</v>
      </c>
      <c r="J36" s="69">
        <f t="shared" si="6"/>
        <v>0.10711693939920486</v>
      </c>
      <c r="K36" s="20">
        <f t="shared" si="1"/>
        <v>10480</v>
      </c>
      <c r="L36" s="70">
        <f t="shared" si="7"/>
        <v>3.7968369565293592E-2</v>
      </c>
    </row>
    <row r="37" spans="2:12" x14ac:dyDescent="0.25">
      <c r="B37" s="284"/>
      <c r="C37" s="287"/>
      <c r="D37" s="19" t="s">
        <v>54</v>
      </c>
      <c r="E37" s="20">
        <v>46745</v>
      </c>
      <c r="F37" s="20">
        <v>54058</v>
      </c>
      <c r="G37" s="20">
        <v>53126</v>
      </c>
      <c r="H37" s="20">
        <v>55215</v>
      </c>
      <c r="I37" s="20">
        <v>54945</v>
      </c>
      <c r="J37" s="69">
        <f t="shared" si="6"/>
        <v>-4.8899755501222719E-3</v>
      </c>
      <c r="K37" s="20">
        <f t="shared" si="1"/>
        <v>-270</v>
      </c>
      <c r="L37" s="70">
        <f t="shared" si="7"/>
        <v>1.9259876711550879E-2</v>
      </c>
    </row>
    <row r="38" spans="2:12" x14ac:dyDescent="0.25">
      <c r="B38" s="284"/>
      <c r="C38" s="287"/>
      <c r="D38" s="19" t="s">
        <v>55</v>
      </c>
      <c r="E38" s="20">
        <v>123213</v>
      </c>
      <c r="F38" s="20">
        <v>156141</v>
      </c>
      <c r="G38" s="20">
        <v>158524</v>
      </c>
      <c r="H38" s="20">
        <v>160539</v>
      </c>
      <c r="I38" s="20">
        <v>163498</v>
      </c>
      <c r="J38" s="21">
        <f t="shared" si="6"/>
        <v>1.8431658350930302E-2</v>
      </c>
      <c r="K38" s="20">
        <f t="shared" si="1"/>
        <v>2959</v>
      </c>
      <c r="L38" s="22">
        <f t="shared" si="7"/>
        <v>5.7310971382021028E-2</v>
      </c>
    </row>
    <row r="39" spans="2:12" x14ac:dyDescent="0.25">
      <c r="B39" s="284"/>
      <c r="C39" s="288"/>
      <c r="D39" s="23" t="s">
        <v>56</v>
      </c>
      <c r="E39" s="71">
        <v>49273</v>
      </c>
      <c r="F39" s="71">
        <v>67054</v>
      </c>
      <c r="G39" s="71">
        <v>69277</v>
      </c>
      <c r="H39" s="71">
        <v>57912</v>
      </c>
      <c r="I39" s="71">
        <v>47365</v>
      </c>
      <c r="J39" s="25">
        <f t="shared" si="6"/>
        <v>-0.182121149330018</v>
      </c>
      <c r="K39" s="71">
        <f t="shared" si="1"/>
        <v>-10547</v>
      </c>
      <c r="L39" s="48">
        <f t="shared" si="7"/>
        <v>1.6602858502913955E-2</v>
      </c>
    </row>
    <row r="40" spans="2:12" x14ac:dyDescent="0.25">
      <c r="B40" s="284"/>
      <c r="C40" s="300" t="s">
        <v>23</v>
      </c>
      <c r="D40" s="65" t="s">
        <v>46</v>
      </c>
      <c r="E40" s="75">
        <v>6.6685079352943797</v>
      </c>
      <c r="F40" s="75">
        <v>6.6569057616103606</v>
      </c>
      <c r="G40" s="75">
        <v>6.7507245642830673</v>
      </c>
      <c r="H40" s="75">
        <v>6.5982332608436538</v>
      </c>
      <c r="I40" s="75">
        <v>6.492554602991814</v>
      </c>
      <c r="J40" s="67">
        <f t="shared" si="6"/>
        <v>-1.6016205198287836E-2</v>
      </c>
      <c r="K40" s="75">
        <f t="shared" si="1"/>
        <v>-0.10567865785183983</v>
      </c>
      <c r="L40" s="67"/>
    </row>
    <row r="41" spans="2:12" x14ac:dyDescent="0.25">
      <c r="B41" s="284"/>
      <c r="C41" s="301"/>
      <c r="D41" s="26" t="s">
        <v>47</v>
      </c>
      <c r="E41" s="35">
        <v>7.2716303604914039</v>
      </c>
      <c r="F41" s="35">
        <v>7.2045591816853385</v>
      </c>
      <c r="G41" s="35">
        <v>7.1449588922544356</v>
      </c>
      <c r="H41" s="35">
        <v>7.1532354158566109</v>
      </c>
      <c r="I41" s="35">
        <v>7.1174067941837764</v>
      </c>
      <c r="J41" s="36">
        <f t="shared" si="6"/>
        <v>-5.0087295594121173E-3</v>
      </c>
      <c r="K41" s="37">
        <f t="shared" si="1"/>
        <v>-3.5828621672834515E-2</v>
      </c>
      <c r="L41" s="38"/>
    </row>
    <row r="42" spans="2:12" x14ac:dyDescent="0.25">
      <c r="B42" s="284"/>
      <c r="C42" s="301"/>
      <c r="D42" s="4" t="s">
        <v>48</v>
      </c>
      <c r="E42" s="39">
        <v>7.3496544290152812</v>
      </c>
      <c r="F42" s="39">
        <v>7.2560849086919399</v>
      </c>
      <c r="G42" s="39">
        <v>7.4519302269326904</v>
      </c>
      <c r="H42" s="39">
        <v>7.2321784322217413</v>
      </c>
      <c r="I42" s="39">
        <v>7.2433035311117129</v>
      </c>
      <c r="J42" s="76">
        <f t="shared" si="0"/>
        <v>1.538277711789604E-3</v>
      </c>
      <c r="K42" s="41">
        <f t="shared" si="1"/>
        <v>1.1125098889971596E-2</v>
      </c>
      <c r="L42" s="77"/>
    </row>
    <row r="43" spans="2:12" x14ac:dyDescent="0.25">
      <c r="B43" s="284"/>
      <c r="C43" s="301"/>
      <c r="D43" s="4" t="s">
        <v>49</v>
      </c>
      <c r="E43" s="39">
        <v>5.9826542960871318</v>
      </c>
      <c r="F43" s="39">
        <v>3.8652406417112299</v>
      </c>
      <c r="G43" s="39">
        <v>3.6283685360524398</v>
      </c>
      <c r="H43" s="39">
        <v>4.1325892857142854</v>
      </c>
      <c r="I43" s="39">
        <v>4.9218036529680367</v>
      </c>
      <c r="J43" s="76">
        <f t="shared" si="0"/>
        <v>0.19097333722030929</v>
      </c>
      <c r="K43" s="41">
        <f t="shared" si="1"/>
        <v>0.78921436725375127</v>
      </c>
      <c r="L43" s="77"/>
    </row>
    <row r="44" spans="2:12" x14ac:dyDescent="0.25">
      <c r="B44" s="284"/>
      <c r="C44" s="301"/>
      <c r="D44" s="4" t="s">
        <v>50</v>
      </c>
      <c r="E44" s="39">
        <v>6.0851153481512696</v>
      </c>
      <c r="F44" s="39">
        <v>6.5736137667304018</v>
      </c>
      <c r="G44" s="39">
        <v>5.73503041946846</v>
      </c>
      <c r="H44" s="39">
        <v>5.5345104333868376</v>
      </c>
      <c r="I44" s="39">
        <v>5.6369844848163373</v>
      </c>
      <c r="J44" s="76">
        <f t="shared" si="0"/>
        <v>1.851546810921656E-2</v>
      </c>
      <c r="K44" s="41">
        <f t="shared" si="1"/>
        <v>0.10247405142949972</v>
      </c>
      <c r="L44" s="77"/>
    </row>
    <row r="45" spans="2:12" x14ac:dyDescent="0.25">
      <c r="B45" s="284"/>
      <c r="C45" s="301"/>
      <c r="D45" s="4" t="s">
        <v>51</v>
      </c>
      <c r="E45" s="39">
        <v>6.4343276482978871</v>
      </c>
      <c r="F45" s="39">
        <v>6.7109165302782321</v>
      </c>
      <c r="G45" s="39">
        <v>7.0489614480564127</v>
      </c>
      <c r="H45" s="39">
        <v>6.903225806451613</v>
      </c>
      <c r="I45" s="39">
        <v>6.5183910671959335</v>
      </c>
      <c r="J45" s="76">
        <f t="shared" si="0"/>
        <v>-5.5747088396850719E-2</v>
      </c>
      <c r="K45" s="41">
        <f t="shared" si="1"/>
        <v>-0.38483473925567946</v>
      </c>
      <c r="L45" s="77"/>
    </row>
    <row r="46" spans="2:12" x14ac:dyDescent="0.25">
      <c r="B46" s="284"/>
      <c r="C46" s="301"/>
      <c r="D46" s="4" t="s">
        <v>52</v>
      </c>
      <c r="E46" s="39">
        <v>2.4653312788906008</v>
      </c>
      <c r="F46" s="39">
        <v>2.3449477351916377</v>
      </c>
      <c r="G46" s="39">
        <v>2.587568157033806</v>
      </c>
      <c r="H46" s="39">
        <v>2.5476281560826322</v>
      </c>
      <c r="I46" s="39">
        <v>2.5096724765370619</v>
      </c>
      <c r="J46" s="76">
        <f t="shared" si="0"/>
        <v>-1.4898437770421324E-2</v>
      </c>
      <c r="K46" s="41">
        <f t="shared" si="1"/>
        <v>-3.795567954557022E-2</v>
      </c>
      <c r="L46" s="77"/>
    </row>
    <row r="47" spans="2:12" x14ac:dyDescent="0.25">
      <c r="B47" s="284"/>
      <c r="C47" s="301"/>
      <c r="D47" s="4" t="s">
        <v>53</v>
      </c>
      <c r="E47" s="39">
        <v>7.2588094167041533</v>
      </c>
      <c r="F47" s="39">
        <v>6.0869589500139627</v>
      </c>
      <c r="G47" s="39">
        <v>5.886785029262775</v>
      </c>
      <c r="H47" s="39">
        <v>5.3419055419055423</v>
      </c>
      <c r="I47" s="39">
        <v>5.1518192627824018</v>
      </c>
      <c r="J47" s="76">
        <f t="shared" si="0"/>
        <v>-3.5583983586376489E-2</v>
      </c>
      <c r="K47" s="41">
        <f t="shared" si="1"/>
        <v>-0.19008627912314058</v>
      </c>
      <c r="L47" s="77"/>
    </row>
    <row r="48" spans="2:12" x14ac:dyDescent="0.25">
      <c r="B48" s="284"/>
      <c r="C48" s="301"/>
      <c r="D48" s="4" t="s">
        <v>54</v>
      </c>
      <c r="E48" s="39">
        <v>2.5686888669084516</v>
      </c>
      <c r="F48" s="39">
        <v>2.2557062382641351</v>
      </c>
      <c r="G48" s="39">
        <v>2.5818146474218788</v>
      </c>
      <c r="H48" s="39">
        <v>2.241869341020748</v>
      </c>
      <c r="I48" s="39">
        <v>2.0944992947813823</v>
      </c>
      <c r="J48" s="76">
        <f t="shared" si="0"/>
        <v>-6.5735341280980464E-2</v>
      </c>
      <c r="K48" s="41">
        <f t="shared" si="1"/>
        <v>-0.14737004623936567</v>
      </c>
      <c r="L48" s="77"/>
    </row>
    <row r="49" spans="2:12" x14ac:dyDescent="0.25">
      <c r="B49" s="284"/>
      <c r="C49" s="301"/>
      <c r="D49" s="4" t="s">
        <v>55</v>
      </c>
      <c r="E49" s="39">
        <v>6.2279114435907807</v>
      </c>
      <c r="F49" s="39">
        <v>6.7056474124973162</v>
      </c>
      <c r="G49" s="39">
        <v>6.5663159638803741</v>
      </c>
      <c r="H49" s="39">
        <v>6.8930442249892661</v>
      </c>
      <c r="I49" s="39">
        <v>6.7914762814654814</v>
      </c>
      <c r="J49" s="40">
        <f t="shared" si="0"/>
        <v>-1.4734845767501614E-2</v>
      </c>
      <c r="K49" s="41">
        <f t="shared" si="1"/>
        <v>-0.10156794352378462</v>
      </c>
      <c r="L49" s="42"/>
    </row>
    <row r="50" spans="2:12" x14ac:dyDescent="0.25">
      <c r="B50" s="284"/>
      <c r="C50" s="302"/>
      <c r="D50" s="32" t="s">
        <v>56</v>
      </c>
      <c r="E50" s="78">
        <v>5.5047480728410232</v>
      </c>
      <c r="F50" s="78">
        <v>6.4792733597449033</v>
      </c>
      <c r="G50" s="78">
        <v>6.3849769585253453</v>
      </c>
      <c r="H50" s="78">
        <v>5.6121717220660914</v>
      </c>
      <c r="I50" s="78">
        <v>5.7238670694864044</v>
      </c>
      <c r="J50" s="63">
        <f t="shared" si="0"/>
        <v>1.9902339584718431E-2</v>
      </c>
      <c r="K50" s="79">
        <f t="shared" si="1"/>
        <v>0.11169534742031306</v>
      </c>
      <c r="L50" s="57"/>
    </row>
    <row r="51" spans="2:12" x14ac:dyDescent="0.25">
      <c r="B51" s="284"/>
      <c r="C51" s="292" t="s">
        <v>37</v>
      </c>
      <c r="D51" s="65" t="s">
        <v>46</v>
      </c>
      <c r="E51" s="67">
        <v>14.084399999999999</v>
      </c>
      <c r="F51" s="67">
        <v>12.309900000000001</v>
      </c>
      <c r="G51" s="67">
        <v>19.022599999999997</v>
      </c>
      <c r="H51" s="67">
        <v>18.326000000000004</v>
      </c>
      <c r="I51" s="67">
        <v>18.064099999999996</v>
      </c>
      <c r="J51" s="67">
        <f t="shared" si="0"/>
        <v>-1.429117101386046E-2</v>
      </c>
      <c r="K51" s="75">
        <f t="shared" ref="K51" si="8">(I51-H51)*100</f>
        <v>-26.190000000000779</v>
      </c>
      <c r="L51" s="67"/>
    </row>
    <row r="52" spans="2:12" x14ac:dyDescent="0.25">
      <c r="B52" s="284"/>
      <c r="C52" s="293"/>
      <c r="D52" s="15" t="s">
        <v>47</v>
      </c>
      <c r="E52" s="18">
        <v>0.62539999999999996</v>
      </c>
      <c r="F52" s="18">
        <v>0.52810000000000001</v>
      </c>
      <c r="G52" s="18">
        <v>0.79909999999999992</v>
      </c>
      <c r="H52" s="18">
        <v>0.78260000000000007</v>
      </c>
      <c r="I52" s="18">
        <v>0.74730000000000008</v>
      </c>
      <c r="J52" s="17">
        <f t="shared" si="0"/>
        <v>-4.5106056733963729E-2</v>
      </c>
      <c r="K52" s="45">
        <f>(I52-H52)*100</f>
        <v>-3.53</v>
      </c>
      <c r="L52" s="18"/>
    </row>
    <row r="53" spans="2:12" x14ac:dyDescent="0.25">
      <c r="B53" s="284"/>
      <c r="C53" s="293"/>
      <c r="D53" s="19" t="s">
        <v>48</v>
      </c>
      <c r="E53" s="70">
        <v>0.51790000000000003</v>
      </c>
      <c r="F53" s="70">
        <v>0.34520000000000001</v>
      </c>
      <c r="G53" s="70">
        <v>0.72120000000000006</v>
      </c>
      <c r="H53" s="70">
        <v>0.70669999999999999</v>
      </c>
      <c r="I53" s="70">
        <v>0.69900000000000007</v>
      </c>
      <c r="J53" s="69">
        <f t="shared" si="0"/>
        <v>-1.0895712466392982E-2</v>
      </c>
      <c r="K53" s="46">
        <f t="shared" ref="K53:K61" si="9">(I53-H53)*100</f>
        <v>-0.76999999999999291</v>
      </c>
      <c r="L53" s="70"/>
    </row>
    <row r="54" spans="2:12" x14ac:dyDescent="0.25">
      <c r="B54" s="284"/>
      <c r="C54" s="293"/>
      <c r="D54" s="19" t="s">
        <v>49</v>
      </c>
      <c r="E54" s="70">
        <v>0.59650000000000003</v>
      </c>
      <c r="F54" s="70">
        <v>0.62009999999999998</v>
      </c>
      <c r="G54" s="70">
        <v>0.70480000000000009</v>
      </c>
      <c r="H54" s="70">
        <v>0.65489999999999993</v>
      </c>
      <c r="I54" s="70">
        <v>0.61470000000000002</v>
      </c>
      <c r="J54" s="69">
        <f t="shared" si="0"/>
        <v>-6.1383417315620581E-2</v>
      </c>
      <c r="K54" s="46">
        <f t="shared" si="9"/>
        <v>-4.0199999999999907</v>
      </c>
      <c r="L54" s="70"/>
    </row>
    <row r="55" spans="2:12" x14ac:dyDescent="0.25">
      <c r="B55" s="284"/>
      <c r="C55" s="293"/>
      <c r="D55" s="19" t="s">
        <v>50</v>
      </c>
      <c r="E55" s="70">
        <v>0.40850000000000003</v>
      </c>
      <c r="F55" s="70">
        <v>0.50219999999999998</v>
      </c>
      <c r="G55" s="70">
        <v>0.50659999999999994</v>
      </c>
      <c r="H55" s="70">
        <v>0.60240000000000005</v>
      </c>
      <c r="I55" s="70">
        <v>0.59409999999999996</v>
      </c>
      <c r="J55" s="69">
        <f t="shared" si="0"/>
        <v>-1.3778220451527323E-2</v>
      </c>
      <c r="K55" s="46">
        <f t="shared" si="9"/>
        <v>-0.83000000000000851</v>
      </c>
      <c r="L55" s="70"/>
    </row>
    <row r="56" spans="2:12" x14ac:dyDescent="0.25">
      <c r="B56" s="284"/>
      <c r="C56" s="293"/>
      <c r="D56" s="19" t="s">
        <v>51</v>
      </c>
      <c r="E56" s="70">
        <v>0.53079999999999994</v>
      </c>
      <c r="F56" s="70">
        <v>0.47649999999999998</v>
      </c>
      <c r="G56" s="70">
        <v>0.73170000000000002</v>
      </c>
      <c r="H56" s="70">
        <v>0.76200000000000001</v>
      </c>
      <c r="I56" s="70">
        <v>0.73219999999999996</v>
      </c>
      <c r="J56" s="69">
        <f t="shared" si="0"/>
        <v>-3.9107611548556465E-2</v>
      </c>
      <c r="K56" s="46">
        <f t="shared" si="9"/>
        <v>-2.9800000000000049</v>
      </c>
      <c r="L56" s="70"/>
    </row>
    <row r="57" spans="2:12" x14ac:dyDescent="0.25">
      <c r="B57" s="284"/>
      <c r="C57" s="293"/>
      <c r="D57" s="19" t="s">
        <v>52</v>
      </c>
      <c r="E57" s="70">
        <v>0.57810000000000006</v>
      </c>
      <c r="F57" s="70">
        <v>0.58939999999999992</v>
      </c>
      <c r="G57" s="70">
        <v>0.56869999999999998</v>
      </c>
      <c r="H57" s="70">
        <v>0.63840000000000008</v>
      </c>
      <c r="I57" s="70">
        <v>0.628</v>
      </c>
      <c r="J57" s="69">
        <f t="shared" si="0"/>
        <v>-1.6290726817042689E-2</v>
      </c>
      <c r="K57" s="46">
        <f t="shared" si="9"/>
        <v>-1.0400000000000076</v>
      </c>
      <c r="L57" s="70"/>
    </row>
    <row r="58" spans="2:12" x14ac:dyDescent="0.25">
      <c r="B58" s="284"/>
      <c r="C58" s="293"/>
      <c r="D58" s="19" t="s">
        <v>53</v>
      </c>
      <c r="E58" s="70">
        <v>0.74909999999999999</v>
      </c>
      <c r="F58" s="70">
        <v>0.53679999999999994</v>
      </c>
      <c r="G58" s="70">
        <v>0.80489999999999995</v>
      </c>
      <c r="H58" s="70">
        <v>0.65790000000000004</v>
      </c>
      <c r="I58" s="70">
        <v>0.75390000000000001</v>
      </c>
      <c r="J58" s="69">
        <f t="shared" si="0"/>
        <v>0.1459188326493388</v>
      </c>
      <c r="K58" s="46">
        <f t="shared" si="9"/>
        <v>9.5999999999999979</v>
      </c>
      <c r="L58" s="70"/>
    </row>
    <row r="59" spans="2:12" x14ac:dyDescent="0.25">
      <c r="B59" s="284"/>
      <c r="C59" s="293"/>
      <c r="D59" s="19" t="s">
        <v>54</v>
      </c>
      <c r="E59" s="70">
        <v>0.60489999999999999</v>
      </c>
      <c r="F59" s="70">
        <v>0.61580000000000001</v>
      </c>
      <c r="G59" s="70">
        <v>0.62139999999999995</v>
      </c>
      <c r="H59" s="70">
        <v>0.66480000000000006</v>
      </c>
      <c r="I59" s="70">
        <v>0.66159999999999997</v>
      </c>
      <c r="J59" s="69">
        <f t="shared" si="0"/>
        <v>-4.8134777376656057E-3</v>
      </c>
      <c r="K59" s="46">
        <f t="shared" si="9"/>
        <v>-0.32000000000000917</v>
      </c>
      <c r="L59" s="70"/>
    </row>
    <row r="60" spans="2:12" x14ac:dyDescent="0.25">
      <c r="B60" s="284"/>
      <c r="C60" s="293"/>
      <c r="D60" s="19" t="s">
        <v>55</v>
      </c>
      <c r="E60" s="22">
        <v>0.61990000000000001</v>
      </c>
      <c r="F60" s="22">
        <v>0.51739999999999997</v>
      </c>
      <c r="G60" s="22">
        <v>0.79709999999999992</v>
      </c>
      <c r="H60" s="22">
        <v>0.79709999999999992</v>
      </c>
      <c r="I60" s="22">
        <v>0.81180000000000008</v>
      </c>
      <c r="J60" s="21">
        <f t="shared" si="0"/>
        <v>1.8441851712457824E-2</v>
      </c>
      <c r="K60" s="46">
        <f t="shared" si="9"/>
        <v>1.4700000000000157</v>
      </c>
      <c r="L60" s="22"/>
    </row>
    <row r="61" spans="2:12" x14ac:dyDescent="0.25">
      <c r="B61" s="284"/>
      <c r="C61" s="294"/>
      <c r="D61" s="23" t="s">
        <v>56</v>
      </c>
      <c r="E61" s="48">
        <v>0.4587</v>
      </c>
      <c r="F61" s="48">
        <v>0.59340000000000004</v>
      </c>
      <c r="G61" s="48">
        <v>0.73219999999999996</v>
      </c>
      <c r="H61" s="48">
        <v>0.60009999999999997</v>
      </c>
      <c r="I61" s="48">
        <v>0.49079999999999996</v>
      </c>
      <c r="J61" s="25">
        <f t="shared" si="0"/>
        <v>-0.18213631061489755</v>
      </c>
      <c r="K61" s="80">
        <f t="shared" si="9"/>
        <v>-10.930000000000001</v>
      </c>
      <c r="L61" s="48"/>
    </row>
    <row r="62" spans="2:12" x14ac:dyDescent="0.25">
      <c r="B62" s="284"/>
      <c r="C62" s="295" t="s">
        <v>57</v>
      </c>
      <c r="D62" s="65" t="s">
        <v>46</v>
      </c>
      <c r="E62" s="66">
        <v>118692</v>
      </c>
      <c r="F62" s="66">
        <v>199699</v>
      </c>
      <c r="G62" s="66">
        <v>126466</v>
      </c>
      <c r="H62" s="66">
        <v>128267</v>
      </c>
      <c r="I62" s="66">
        <v>127934</v>
      </c>
      <c r="J62" s="67">
        <f t="shared" si="0"/>
        <v>-2.5961470994098068E-3</v>
      </c>
      <c r="K62" s="66">
        <f t="shared" ref="K62:K63" si="10">I62-H62</f>
        <v>-333</v>
      </c>
      <c r="L62" s="67">
        <f t="shared" ref="L62:L63" si="11">I62/$I$62</f>
        <v>1</v>
      </c>
    </row>
    <row r="63" spans="2:12" x14ac:dyDescent="0.25">
      <c r="B63" s="284"/>
      <c r="C63" s="297"/>
      <c r="D63" s="26" t="s">
        <v>47</v>
      </c>
      <c r="E63" s="27">
        <v>42803</v>
      </c>
      <c r="F63" s="27">
        <v>67766</v>
      </c>
      <c r="G63" s="27">
        <v>46660</v>
      </c>
      <c r="H63" s="27">
        <v>47014.999999999993</v>
      </c>
      <c r="I63" s="27">
        <v>47690</v>
      </c>
      <c r="J63" s="36">
        <f t="shared" si="0"/>
        <v>1.4357120068063445E-2</v>
      </c>
      <c r="K63" s="27">
        <f t="shared" si="10"/>
        <v>675.00000000000728</v>
      </c>
      <c r="L63" s="38">
        <f t="shared" si="11"/>
        <v>0.37277033470383164</v>
      </c>
    </row>
    <row r="64" spans="2:12" x14ac:dyDescent="0.25">
      <c r="B64" s="284"/>
      <c r="C64" s="297"/>
      <c r="D64" s="4" t="s">
        <v>48</v>
      </c>
      <c r="E64" s="29">
        <v>36098</v>
      </c>
      <c r="F64" s="29">
        <v>73850</v>
      </c>
      <c r="G64" s="29">
        <v>37203</v>
      </c>
      <c r="H64" s="29">
        <v>38115</v>
      </c>
      <c r="I64" s="29">
        <v>37015</v>
      </c>
      <c r="J64" s="76">
        <f>I64/H64-1</f>
        <v>-2.8860028860028808E-2</v>
      </c>
      <c r="K64" s="29">
        <f>I64-H64</f>
        <v>-1100</v>
      </c>
      <c r="L64" s="77">
        <f>I64/$I$62</f>
        <v>0.28932887269998592</v>
      </c>
    </row>
    <row r="65" spans="2:12" x14ac:dyDescent="0.25">
      <c r="B65" s="284"/>
      <c r="C65" s="297"/>
      <c r="D65" s="4" t="s">
        <v>49</v>
      </c>
      <c r="E65" s="29">
        <v>802</v>
      </c>
      <c r="F65" s="29">
        <v>940</v>
      </c>
      <c r="G65" s="29">
        <v>912</v>
      </c>
      <c r="H65" s="29">
        <v>912</v>
      </c>
      <c r="I65" s="29">
        <v>905</v>
      </c>
      <c r="J65" s="76">
        <f t="shared" ref="J65:J72" si="12">I65/H65-1</f>
        <v>-7.6754385964912242E-3</v>
      </c>
      <c r="K65" s="29">
        <f t="shared" ref="K65:K72" si="13">I65-H65</f>
        <v>-7</v>
      </c>
      <c r="L65" s="77">
        <f t="shared" ref="L65:L72" si="14">I65/$I$62</f>
        <v>7.0739600106304815E-3</v>
      </c>
    </row>
    <row r="66" spans="2:12" x14ac:dyDescent="0.25">
      <c r="B66" s="284"/>
      <c r="C66" s="297"/>
      <c r="D66" s="4" t="s">
        <v>50</v>
      </c>
      <c r="E66" s="29">
        <v>4562</v>
      </c>
      <c r="F66" s="29">
        <v>5961.9999999999991</v>
      </c>
      <c r="G66" s="29">
        <v>4562</v>
      </c>
      <c r="H66" s="29">
        <v>4616</v>
      </c>
      <c r="I66" s="29">
        <v>4616</v>
      </c>
      <c r="J66" s="76">
        <f t="shared" si="12"/>
        <v>0</v>
      </c>
      <c r="K66" s="29">
        <f t="shared" si="13"/>
        <v>0</v>
      </c>
      <c r="L66" s="77">
        <f t="shared" si="14"/>
        <v>3.6081104319414699E-2</v>
      </c>
    </row>
    <row r="67" spans="2:12" x14ac:dyDescent="0.25">
      <c r="B67" s="284"/>
      <c r="C67" s="297"/>
      <c r="D67" s="4" t="s">
        <v>51</v>
      </c>
      <c r="E67" s="29">
        <v>17263</v>
      </c>
      <c r="F67" s="29">
        <v>27757</v>
      </c>
      <c r="G67" s="29">
        <v>19434</v>
      </c>
      <c r="H67" s="29">
        <v>19850</v>
      </c>
      <c r="I67" s="29">
        <v>20110.999999999996</v>
      </c>
      <c r="J67" s="76">
        <f t="shared" si="12"/>
        <v>1.3148614609571618E-2</v>
      </c>
      <c r="K67" s="29">
        <f t="shared" si="13"/>
        <v>260.99999999999636</v>
      </c>
      <c r="L67" s="77">
        <f t="shared" si="14"/>
        <v>0.15719824284396638</v>
      </c>
    </row>
    <row r="68" spans="2:12" x14ac:dyDescent="0.25">
      <c r="B68" s="284"/>
      <c r="C68" s="297"/>
      <c r="D68" s="4" t="s">
        <v>52</v>
      </c>
      <c r="E68" s="29">
        <v>625</v>
      </c>
      <c r="F68" s="29">
        <v>663</v>
      </c>
      <c r="G68" s="29">
        <v>673</v>
      </c>
      <c r="H68" s="29">
        <v>673</v>
      </c>
      <c r="I68" s="29">
        <v>673</v>
      </c>
      <c r="J68" s="76">
        <f t="shared" si="12"/>
        <v>0</v>
      </c>
      <c r="K68" s="29">
        <f t="shared" si="13"/>
        <v>0</v>
      </c>
      <c r="L68" s="77">
        <f t="shared" si="14"/>
        <v>5.2605249581815627E-3</v>
      </c>
    </row>
    <row r="69" spans="2:12" x14ac:dyDescent="0.25">
      <c r="B69" s="284"/>
      <c r="C69" s="297"/>
      <c r="D69" s="4" t="s">
        <v>53</v>
      </c>
      <c r="E69" s="29">
        <v>4169</v>
      </c>
      <c r="F69" s="29">
        <v>6549</v>
      </c>
      <c r="G69" s="29">
        <v>4797</v>
      </c>
      <c r="H69" s="29">
        <v>4797</v>
      </c>
      <c r="I69" s="29">
        <v>4635</v>
      </c>
      <c r="J69" s="76">
        <f t="shared" si="12"/>
        <v>-3.3771106941838602E-2</v>
      </c>
      <c r="K69" s="29">
        <f t="shared" si="13"/>
        <v>-162</v>
      </c>
      <c r="L69" s="77">
        <f t="shared" si="14"/>
        <v>3.6229618396985949E-2</v>
      </c>
    </row>
    <row r="70" spans="2:12" x14ac:dyDescent="0.25">
      <c r="B70" s="284"/>
      <c r="C70" s="297"/>
      <c r="D70" s="4" t="s">
        <v>54</v>
      </c>
      <c r="E70" s="29">
        <v>2492.9999999999995</v>
      </c>
      <c r="F70" s="29">
        <v>2832</v>
      </c>
      <c r="G70" s="29">
        <v>2758</v>
      </c>
      <c r="H70" s="29">
        <v>2679.0000000000005</v>
      </c>
      <c r="I70" s="29">
        <v>2679.0000000000005</v>
      </c>
      <c r="J70" s="76">
        <f t="shared" si="12"/>
        <v>0</v>
      </c>
      <c r="K70" s="29">
        <f t="shared" si="13"/>
        <v>0</v>
      </c>
      <c r="L70" s="77">
        <f t="shared" si="14"/>
        <v>2.0940484937545925E-2</v>
      </c>
    </row>
    <row r="71" spans="2:12" x14ac:dyDescent="0.25">
      <c r="B71" s="284"/>
      <c r="C71" s="297"/>
      <c r="D71" s="4" t="s">
        <v>55</v>
      </c>
      <c r="E71" s="29">
        <v>6412</v>
      </c>
      <c r="F71" s="29">
        <v>9735</v>
      </c>
      <c r="G71" s="29">
        <v>6415</v>
      </c>
      <c r="H71" s="29">
        <v>6497</v>
      </c>
      <c r="I71" s="29">
        <v>6497</v>
      </c>
      <c r="J71" s="40">
        <f t="shared" si="12"/>
        <v>0</v>
      </c>
      <c r="K71" s="29">
        <f t="shared" si="13"/>
        <v>0</v>
      </c>
      <c r="L71" s="42">
        <f t="shared" si="14"/>
        <v>5.0783997998968218E-2</v>
      </c>
    </row>
    <row r="72" spans="2:12" x14ac:dyDescent="0.25">
      <c r="B72" s="285"/>
      <c r="C72" s="298"/>
      <c r="D72" s="32" t="s">
        <v>56</v>
      </c>
      <c r="E72" s="73">
        <v>3464.9999999999995</v>
      </c>
      <c r="F72" s="73">
        <v>3644.9999999999995</v>
      </c>
      <c r="G72" s="73">
        <v>3052</v>
      </c>
      <c r="H72" s="73">
        <v>3112.9999999999995</v>
      </c>
      <c r="I72" s="73">
        <v>3112.9999999999995</v>
      </c>
      <c r="J72" s="63">
        <f t="shared" si="12"/>
        <v>0</v>
      </c>
      <c r="K72" s="73">
        <f t="shared" si="13"/>
        <v>0</v>
      </c>
      <c r="L72" s="57">
        <f t="shared" si="14"/>
        <v>2.4332859130489156E-2</v>
      </c>
    </row>
    <row r="73" spans="2:12" ht="7.5" customHeight="1" x14ac:dyDescent="0.25">
      <c r="B73" s="280"/>
      <c r="C73" s="280"/>
      <c r="D73" s="280"/>
      <c r="E73" s="280"/>
      <c r="F73" s="280"/>
      <c r="G73" s="280"/>
      <c r="H73" s="280"/>
      <c r="I73" s="280"/>
      <c r="J73" s="280"/>
      <c r="K73" s="280"/>
      <c r="L73" s="49"/>
    </row>
    <row r="74" spans="2:12" x14ac:dyDescent="0.25">
      <c r="B74" s="282" t="s">
        <v>58</v>
      </c>
      <c r="C74" s="282"/>
      <c r="D74" s="282"/>
      <c r="E74" s="282"/>
      <c r="F74" s="282"/>
      <c r="G74" s="282"/>
      <c r="H74" s="282"/>
      <c r="I74" s="282"/>
      <c r="J74" s="282"/>
      <c r="K74" s="282"/>
    </row>
    <row r="76" spans="2:12" x14ac:dyDescent="0.25">
      <c r="B76" s="58"/>
    </row>
    <row r="77" spans="2:12" ht="21.75" customHeight="1" thickBot="1" x14ac:dyDescent="0.3">
      <c r="B77" s="283" t="s">
        <v>59</v>
      </c>
      <c r="C77" s="283"/>
      <c r="D77" s="283"/>
      <c r="E77" s="283"/>
      <c r="F77" s="283"/>
      <c r="G77" s="283"/>
      <c r="H77" s="283"/>
      <c r="I77" s="283"/>
      <c r="J77" s="283"/>
      <c r="K77" s="283"/>
      <c r="L77" s="12"/>
    </row>
    <row r="78" spans="2:12" ht="6" customHeight="1" thickBot="1" x14ac:dyDescent="0.3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60" x14ac:dyDescent="0.25">
      <c r="B79" s="4"/>
      <c r="C79" s="4"/>
      <c r="D79" s="4"/>
      <c r="E79" s="13" t="s">
        <v>236</v>
      </c>
      <c r="F79" s="13" t="s">
        <v>237</v>
      </c>
      <c r="G79" s="13" t="s">
        <v>238</v>
      </c>
      <c r="H79" s="13" t="s">
        <v>239</v>
      </c>
      <c r="I79" s="13" t="s">
        <v>240</v>
      </c>
      <c r="J79" s="14" t="str">
        <f>CONCATENATE("var. ",RIGHT(I79,2),"/",RIGHT(H79,2))</f>
        <v>var. 25/24</v>
      </c>
      <c r="K79" s="14" t="str">
        <f>CONCATENATE("dif. ",RIGHT(I79,2),"/",RIGHT(H79,2))</f>
        <v>dif. 25/24</v>
      </c>
      <c r="L79" s="14" t="str">
        <f>CONCATENATE("cuota ",I79)</f>
        <v>cuota acumulado a diciembre 2025</v>
      </c>
    </row>
    <row r="80" spans="2:12" ht="15" customHeight="1" x14ac:dyDescent="0.25">
      <c r="B80" s="296" t="s">
        <v>45</v>
      </c>
      <c r="C80" s="286" t="s">
        <v>8</v>
      </c>
      <c r="D80" s="65" t="s">
        <v>46</v>
      </c>
      <c r="E80" s="66">
        <v>2335438</v>
      </c>
      <c r="F80" s="66">
        <v>4757683</v>
      </c>
      <c r="G80" s="66">
        <v>5189113</v>
      </c>
      <c r="H80" s="66">
        <v>5483293</v>
      </c>
      <c r="I80" s="66">
        <v>5451268</v>
      </c>
      <c r="J80" s="67">
        <f t="shared" ref="J80:J81" si="15">I80/H80-1</f>
        <v>-5.8404684921998795E-3</v>
      </c>
      <c r="K80" s="66">
        <f t="shared" ref="K80:K81" si="16">I80-H80</f>
        <v>-32025</v>
      </c>
      <c r="L80" s="67">
        <f t="shared" ref="L80:L81" si="17">I80/$I$80</f>
        <v>1</v>
      </c>
    </row>
    <row r="81" spans="2:13" ht="15" customHeight="1" x14ac:dyDescent="0.25">
      <c r="B81" s="284"/>
      <c r="C81" s="287"/>
      <c r="D81" s="15" t="s">
        <v>47</v>
      </c>
      <c r="E81" s="16">
        <v>881045</v>
      </c>
      <c r="F81" s="16">
        <v>1757049</v>
      </c>
      <c r="G81" s="16">
        <v>1888751</v>
      </c>
      <c r="H81" s="16">
        <v>1938929</v>
      </c>
      <c r="I81" s="16">
        <v>1858237</v>
      </c>
      <c r="J81" s="18">
        <f t="shared" si="15"/>
        <v>-4.1616789475014349E-2</v>
      </c>
      <c r="K81" s="16">
        <f t="shared" si="16"/>
        <v>-80692</v>
      </c>
      <c r="L81" s="18">
        <f t="shared" si="17"/>
        <v>0.34088160772869724</v>
      </c>
      <c r="M81" s="81"/>
    </row>
    <row r="82" spans="2:13" x14ac:dyDescent="0.25">
      <c r="B82" s="284"/>
      <c r="C82" s="287"/>
      <c r="D82" s="19" t="s">
        <v>48</v>
      </c>
      <c r="E82" s="20">
        <v>492258</v>
      </c>
      <c r="F82" s="20">
        <v>1243535</v>
      </c>
      <c r="G82" s="20">
        <v>1320376</v>
      </c>
      <c r="H82" s="20">
        <v>1387795</v>
      </c>
      <c r="I82" s="20">
        <v>1421549</v>
      </c>
      <c r="J82" s="70">
        <f>I82/H82-1</f>
        <v>2.4322036035581585E-2</v>
      </c>
      <c r="K82" s="20">
        <f>I82-H82</f>
        <v>33754</v>
      </c>
      <c r="L82" s="70">
        <f>I82/$I$80</f>
        <v>0.26077400707505116</v>
      </c>
      <c r="M82" s="81"/>
    </row>
    <row r="83" spans="2:13" x14ac:dyDescent="0.25">
      <c r="B83" s="284"/>
      <c r="C83" s="287"/>
      <c r="D83" s="19" t="s">
        <v>49</v>
      </c>
      <c r="E83" s="20">
        <v>20161</v>
      </c>
      <c r="F83" s="20">
        <v>37751</v>
      </c>
      <c r="G83" s="20">
        <v>51211</v>
      </c>
      <c r="H83" s="20">
        <v>45051</v>
      </c>
      <c r="I83" s="20">
        <v>44435</v>
      </c>
      <c r="J83" s="70">
        <f t="shared" ref="J83:J136" si="18">I83/H83-1</f>
        <v>-1.3673392377527738E-2</v>
      </c>
      <c r="K83" s="20">
        <f t="shared" ref="K83:K112" si="19">I83-H83</f>
        <v>-616</v>
      </c>
      <c r="L83" s="70">
        <f t="shared" ref="L83:L90" si="20">I83/$I$80</f>
        <v>8.1513145198511619E-3</v>
      </c>
      <c r="M83" s="81"/>
    </row>
    <row r="84" spans="2:13" x14ac:dyDescent="0.25">
      <c r="B84" s="284"/>
      <c r="C84" s="287"/>
      <c r="D84" s="19" t="s">
        <v>50</v>
      </c>
      <c r="E84" s="20">
        <v>70304</v>
      </c>
      <c r="F84" s="20">
        <v>161080</v>
      </c>
      <c r="G84" s="20">
        <v>173648</v>
      </c>
      <c r="H84" s="20">
        <v>231856</v>
      </c>
      <c r="I84" s="20">
        <v>188676</v>
      </c>
      <c r="J84" s="70">
        <f t="shared" si="18"/>
        <v>-0.1862362845904354</v>
      </c>
      <c r="K84" s="20">
        <f t="shared" si="19"/>
        <v>-43180</v>
      </c>
      <c r="L84" s="70">
        <f t="shared" si="20"/>
        <v>3.461139683464471E-2</v>
      </c>
      <c r="M84" s="81"/>
    </row>
    <row r="85" spans="2:13" x14ac:dyDescent="0.25">
      <c r="B85" s="284"/>
      <c r="C85" s="287"/>
      <c r="D85" s="19" t="s">
        <v>51</v>
      </c>
      <c r="E85" s="20">
        <v>354204</v>
      </c>
      <c r="F85" s="20">
        <v>710225</v>
      </c>
      <c r="G85" s="20">
        <v>800263</v>
      </c>
      <c r="H85" s="20">
        <v>915958</v>
      </c>
      <c r="I85" s="20">
        <v>937396</v>
      </c>
      <c r="J85" s="70">
        <f t="shared" si="18"/>
        <v>2.3405003286176784E-2</v>
      </c>
      <c r="K85" s="20">
        <f t="shared" si="19"/>
        <v>21438</v>
      </c>
      <c r="L85" s="70">
        <f t="shared" si="20"/>
        <v>0.17195925791944186</v>
      </c>
      <c r="M85" s="81"/>
    </row>
    <row r="86" spans="2:13" x14ac:dyDescent="0.25">
      <c r="B86" s="284"/>
      <c r="C86" s="287"/>
      <c r="D86" s="19" t="s">
        <v>52</v>
      </c>
      <c r="E86" s="20">
        <v>33444</v>
      </c>
      <c r="F86" s="20">
        <v>51485</v>
      </c>
      <c r="G86" s="20">
        <v>58157</v>
      </c>
      <c r="H86" s="20">
        <v>57388</v>
      </c>
      <c r="I86" s="20">
        <v>56585</v>
      </c>
      <c r="J86" s="70">
        <f t="shared" si="18"/>
        <v>-1.3992472293859359E-2</v>
      </c>
      <c r="K86" s="20">
        <f t="shared" si="19"/>
        <v>-803</v>
      </c>
      <c r="L86" s="70">
        <f t="shared" si="20"/>
        <v>1.0380153755052952E-2</v>
      </c>
      <c r="M86" s="81"/>
    </row>
    <row r="87" spans="2:13" x14ac:dyDescent="0.25">
      <c r="B87" s="284"/>
      <c r="C87" s="287"/>
      <c r="D87" s="19" t="s">
        <v>53</v>
      </c>
      <c r="E87" s="20">
        <v>107459</v>
      </c>
      <c r="F87" s="20">
        <v>198873</v>
      </c>
      <c r="G87" s="20">
        <v>252588</v>
      </c>
      <c r="H87" s="20">
        <v>239146</v>
      </c>
      <c r="I87" s="20">
        <v>250668</v>
      </c>
      <c r="J87" s="70">
        <f t="shared" si="18"/>
        <v>4.8179773025682993E-2</v>
      </c>
      <c r="K87" s="20">
        <f t="shared" si="19"/>
        <v>11522</v>
      </c>
      <c r="L87" s="70">
        <f t="shared" si="20"/>
        <v>4.5983429910252074E-2</v>
      </c>
      <c r="M87" s="81"/>
    </row>
    <row r="88" spans="2:13" x14ac:dyDescent="0.25">
      <c r="B88" s="284"/>
      <c r="C88" s="287"/>
      <c r="D88" s="19" t="s">
        <v>54</v>
      </c>
      <c r="E88" s="20">
        <v>164258</v>
      </c>
      <c r="F88" s="20">
        <v>229131</v>
      </c>
      <c r="G88" s="20">
        <v>240044</v>
      </c>
      <c r="H88" s="20">
        <v>250407</v>
      </c>
      <c r="I88" s="20">
        <v>282601</v>
      </c>
      <c r="J88" s="70">
        <f t="shared" si="18"/>
        <v>0.12856669342310711</v>
      </c>
      <c r="K88" s="20">
        <f t="shared" si="19"/>
        <v>32194</v>
      </c>
      <c r="L88" s="70">
        <f t="shared" si="20"/>
        <v>5.184133306232605E-2</v>
      </c>
      <c r="M88" s="81"/>
    </row>
    <row r="89" spans="2:13" ht="18" customHeight="1" x14ac:dyDescent="0.25">
      <c r="B89" s="284"/>
      <c r="C89" s="287"/>
      <c r="D89" s="19" t="s">
        <v>55</v>
      </c>
      <c r="E89" s="20">
        <v>140346</v>
      </c>
      <c r="F89" s="20">
        <v>257117</v>
      </c>
      <c r="G89" s="20">
        <v>280769</v>
      </c>
      <c r="H89" s="20">
        <v>288350</v>
      </c>
      <c r="I89" s="20">
        <v>287664</v>
      </c>
      <c r="J89" s="22">
        <f t="shared" si="18"/>
        <v>-2.3790532339170722E-3</v>
      </c>
      <c r="K89" s="20">
        <f t="shared" si="19"/>
        <v>-686</v>
      </c>
      <c r="L89" s="22">
        <f t="shared" si="20"/>
        <v>5.277010779877269E-2</v>
      </c>
      <c r="M89" s="81"/>
    </row>
    <row r="90" spans="2:13" x14ac:dyDescent="0.25">
      <c r="B90" s="284"/>
      <c r="C90" s="288"/>
      <c r="D90" s="23" t="s">
        <v>56</v>
      </c>
      <c r="E90" s="71">
        <v>71959</v>
      </c>
      <c r="F90" s="71">
        <v>111437</v>
      </c>
      <c r="G90" s="71">
        <v>123306</v>
      </c>
      <c r="H90" s="71">
        <v>128413</v>
      </c>
      <c r="I90" s="71">
        <v>123457</v>
      </c>
      <c r="J90" s="48">
        <f t="shared" si="18"/>
        <v>-3.8594223326298693E-2</v>
      </c>
      <c r="K90" s="71">
        <f t="shared" si="19"/>
        <v>-4956</v>
      </c>
      <c r="L90" s="48">
        <f t="shared" si="20"/>
        <v>2.2647391395910089E-2</v>
      </c>
      <c r="M90" s="81"/>
    </row>
    <row r="91" spans="2:13" x14ac:dyDescent="0.25">
      <c r="B91" s="284"/>
      <c r="C91" s="289" t="s">
        <v>18</v>
      </c>
      <c r="D91" s="65" t="s">
        <v>46</v>
      </c>
      <c r="E91" s="66">
        <v>2347681</v>
      </c>
      <c r="F91" s="66">
        <v>4832844</v>
      </c>
      <c r="G91" s="66">
        <v>5281667</v>
      </c>
      <c r="H91" s="66">
        <v>5579982</v>
      </c>
      <c r="I91" s="66">
        <v>5548336</v>
      </c>
      <c r="J91" s="67">
        <f t="shared" si="18"/>
        <v>-5.6713444595341E-3</v>
      </c>
      <c r="K91" s="66">
        <f t="shared" si="19"/>
        <v>-31646</v>
      </c>
      <c r="L91" s="67">
        <f t="shared" ref="L91:L92" si="21">I91/$I$91</f>
        <v>1</v>
      </c>
    </row>
    <row r="92" spans="2:13" x14ac:dyDescent="0.25">
      <c r="B92" s="284"/>
      <c r="C92" s="290"/>
      <c r="D92" s="26" t="s">
        <v>47</v>
      </c>
      <c r="E92" s="27">
        <v>886032</v>
      </c>
      <c r="F92" s="27">
        <v>1785371</v>
      </c>
      <c r="G92" s="27">
        <v>1925435</v>
      </c>
      <c r="H92" s="27">
        <v>1977808</v>
      </c>
      <c r="I92" s="27">
        <v>1894928</v>
      </c>
      <c r="J92" s="82">
        <f t="shared" si="18"/>
        <v>-4.1904977631802454E-2</v>
      </c>
      <c r="K92" s="27">
        <f t="shared" si="19"/>
        <v>-82880</v>
      </c>
      <c r="L92" s="38">
        <f t="shared" si="21"/>
        <v>0.34153086619123285</v>
      </c>
    </row>
    <row r="93" spans="2:13" x14ac:dyDescent="0.25">
      <c r="B93" s="284"/>
      <c r="C93" s="290"/>
      <c r="D93" s="4" t="s">
        <v>48</v>
      </c>
      <c r="E93" s="29">
        <v>494807</v>
      </c>
      <c r="F93" s="29">
        <v>1265143</v>
      </c>
      <c r="G93" s="29">
        <v>1346478</v>
      </c>
      <c r="H93" s="29">
        <v>1414199</v>
      </c>
      <c r="I93" s="29">
        <v>1450547</v>
      </c>
      <c r="J93" s="83">
        <f t="shared" si="18"/>
        <v>2.5702181941862579E-2</v>
      </c>
      <c r="K93" s="29">
        <f t="shared" si="19"/>
        <v>36348</v>
      </c>
      <c r="L93" s="77">
        <f>I93/$I$91</f>
        <v>0.26143820417508962</v>
      </c>
    </row>
    <row r="94" spans="2:13" x14ac:dyDescent="0.25">
      <c r="B94" s="284"/>
      <c r="C94" s="290"/>
      <c r="D94" s="4" t="s">
        <v>49</v>
      </c>
      <c r="E94" s="29">
        <v>20284</v>
      </c>
      <c r="F94" s="29">
        <v>38233</v>
      </c>
      <c r="G94" s="29">
        <v>51611</v>
      </c>
      <c r="H94" s="29">
        <v>45550</v>
      </c>
      <c r="I94" s="29">
        <v>45028</v>
      </c>
      <c r="J94" s="83">
        <f t="shared" si="18"/>
        <v>-1.1459934138309591E-2</v>
      </c>
      <c r="K94" s="29">
        <f t="shared" si="19"/>
        <v>-522</v>
      </c>
      <c r="L94" s="77">
        <f t="shared" ref="L94:L101" si="22">I94/$I$91</f>
        <v>8.1155863667953781E-3</v>
      </c>
    </row>
    <row r="95" spans="2:13" x14ac:dyDescent="0.25">
      <c r="B95" s="284"/>
      <c r="C95" s="290"/>
      <c r="D95" s="4" t="s">
        <v>50</v>
      </c>
      <c r="E95" s="29">
        <v>71245</v>
      </c>
      <c r="F95" s="29">
        <v>164270</v>
      </c>
      <c r="G95" s="29">
        <v>177179</v>
      </c>
      <c r="H95" s="29">
        <v>234780</v>
      </c>
      <c r="I95" s="29">
        <v>191694</v>
      </c>
      <c r="J95" s="83">
        <f t="shared" si="18"/>
        <v>-0.18351648351648353</v>
      </c>
      <c r="K95" s="29">
        <f t="shared" si="19"/>
        <v>-43086</v>
      </c>
      <c r="L95" s="77">
        <f t="shared" si="22"/>
        <v>3.4549818179720908E-2</v>
      </c>
    </row>
    <row r="96" spans="2:13" x14ac:dyDescent="0.25">
      <c r="B96" s="284"/>
      <c r="C96" s="290"/>
      <c r="D96" s="4" t="s">
        <v>51</v>
      </c>
      <c r="E96" s="29">
        <v>355287</v>
      </c>
      <c r="F96" s="29">
        <v>720575</v>
      </c>
      <c r="G96" s="29">
        <v>813714</v>
      </c>
      <c r="H96" s="29">
        <v>930653</v>
      </c>
      <c r="I96" s="29">
        <v>952676</v>
      </c>
      <c r="J96" s="83">
        <f t="shared" si="18"/>
        <v>2.3664029450289226E-2</v>
      </c>
      <c r="K96" s="29">
        <f t="shared" si="19"/>
        <v>22023</v>
      </c>
      <c r="L96" s="77">
        <f t="shared" si="22"/>
        <v>0.17170481383968095</v>
      </c>
    </row>
    <row r="97" spans="2:12" x14ac:dyDescent="0.25">
      <c r="B97" s="284"/>
      <c r="C97" s="290"/>
      <c r="D97" s="4" t="s">
        <v>52</v>
      </c>
      <c r="E97" s="29">
        <v>33497</v>
      </c>
      <c r="F97" s="29">
        <v>51855</v>
      </c>
      <c r="G97" s="29">
        <v>58492</v>
      </c>
      <c r="H97" s="29">
        <v>57716</v>
      </c>
      <c r="I97" s="29">
        <v>56950</v>
      </c>
      <c r="J97" s="83">
        <f t="shared" si="18"/>
        <v>-1.3271883013375785E-2</v>
      </c>
      <c r="K97" s="29">
        <f t="shared" si="19"/>
        <v>-766</v>
      </c>
      <c r="L97" s="77">
        <f t="shared" si="22"/>
        <v>1.0264338713444896E-2</v>
      </c>
    </row>
    <row r="98" spans="2:12" x14ac:dyDescent="0.25">
      <c r="B98" s="284"/>
      <c r="C98" s="290"/>
      <c r="D98" s="4" t="s">
        <v>53</v>
      </c>
      <c r="E98" s="29">
        <v>108554</v>
      </c>
      <c r="F98" s="29">
        <v>202302</v>
      </c>
      <c r="G98" s="29">
        <v>255835</v>
      </c>
      <c r="H98" s="29">
        <v>243005</v>
      </c>
      <c r="I98" s="29">
        <v>254126</v>
      </c>
      <c r="J98" s="83">
        <f t="shared" si="18"/>
        <v>4.5764490442583572E-2</v>
      </c>
      <c r="K98" s="29">
        <f t="shared" si="19"/>
        <v>11121</v>
      </c>
      <c r="L98" s="77">
        <f t="shared" si="22"/>
        <v>4.5802200876082486E-2</v>
      </c>
    </row>
    <row r="99" spans="2:12" x14ac:dyDescent="0.25">
      <c r="B99" s="284"/>
      <c r="C99" s="290"/>
      <c r="D99" s="4" t="s">
        <v>54</v>
      </c>
      <c r="E99" s="29">
        <v>164413</v>
      </c>
      <c r="F99" s="29">
        <v>230406</v>
      </c>
      <c r="G99" s="29">
        <v>241537</v>
      </c>
      <c r="H99" s="29">
        <v>252084</v>
      </c>
      <c r="I99" s="29">
        <v>284121</v>
      </c>
      <c r="J99" s="83">
        <f t="shared" si="18"/>
        <v>0.12708858951777979</v>
      </c>
      <c r="K99" s="29">
        <f t="shared" si="19"/>
        <v>32037</v>
      </c>
      <c r="L99" s="77">
        <f t="shared" si="22"/>
        <v>5.1208326244120757E-2</v>
      </c>
    </row>
    <row r="100" spans="2:12" x14ac:dyDescent="0.25">
      <c r="B100" s="284"/>
      <c r="C100" s="290"/>
      <c r="D100" s="4" t="s">
        <v>55</v>
      </c>
      <c r="E100" s="29">
        <v>141329</v>
      </c>
      <c r="F100" s="29">
        <v>261644</v>
      </c>
      <c r="G100" s="29">
        <v>285810</v>
      </c>
      <c r="H100" s="29">
        <v>293795</v>
      </c>
      <c r="I100" s="29">
        <v>293036</v>
      </c>
      <c r="J100" s="31">
        <f t="shared" si="18"/>
        <v>-2.5834340271277956E-3</v>
      </c>
      <c r="K100" s="29">
        <f t="shared" si="19"/>
        <v>-759</v>
      </c>
      <c r="L100" s="42">
        <f t="shared" si="22"/>
        <v>5.281511429733167E-2</v>
      </c>
    </row>
    <row r="101" spans="2:12" x14ac:dyDescent="0.25">
      <c r="B101" s="284"/>
      <c r="C101" s="291"/>
      <c r="D101" s="32" t="s">
        <v>56</v>
      </c>
      <c r="E101" s="73">
        <v>72233</v>
      </c>
      <c r="F101" s="73">
        <v>113045</v>
      </c>
      <c r="G101" s="73">
        <v>125576</v>
      </c>
      <c r="H101" s="73">
        <v>130392</v>
      </c>
      <c r="I101" s="73">
        <v>125230</v>
      </c>
      <c r="J101" s="74">
        <f t="shared" si="18"/>
        <v>-3.9588318301736258E-2</v>
      </c>
      <c r="K101" s="73">
        <f t="shared" si="19"/>
        <v>-5162</v>
      </c>
      <c r="L101" s="57">
        <f t="shared" si="22"/>
        <v>2.2570731116500514E-2</v>
      </c>
    </row>
    <row r="102" spans="2:12" x14ac:dyDescent="0.25">
      <c r="B102" s="284"/>
      <c r="C102" s="286" t="s">
        <v>22</v>
      </c>
      <c r="D102" s="65" t="s">
        <v>46</v>
      </c>
      <c r="E102" s="66">
        <v>13903380</v>
      </c>
      <c r="F102" s="66">
        <v>31405937</v>
      </c>
      <c r="G102" s="66">
        <v>34492002</v>
      </c>
      <c r="H102" s="66">
        <v>36085760</v>
      </c>
      <c r="I102" s="66">
        <v>34978337</v>
      </c>
      <c r="J102" s="67">
        <f t="shared" si="18"/>
        <v>-3.0688642833073265E-2</v>
      </c>
      <c r="K102" s="66">
        <f t="shared" si="19"/>
        <v>-1107423</v>
      </c>
      <c r="L102" s="67">
        <f t="shared" ref="L102:L103" si="23">I102/$I$102</f>
        <v>1</v>
      </c>
    </row>
    <row r="103" spans="2:12" x14ac:dyDescent="0.25">
      <c r="B103" s="284"/>
      <c r="C103" s="287"/>
      <c r="D103" s="15" t="s">
        <v>47</v>
      </c>
      <c r="E103" s="16">
        <v>5763674</v>
      </c>
      <c r="F103" s="16">
        <v>12632387</v>
      </c>
      <c r="G103" s="16">
        <v>13593290</v>
      </c>
      <c r="H103" s="16">
        <v>13840017</v>
      </c>
      <c r="I103" s="16">
        <v>13113733</v>
      </c>
      <c r="J103" s="18">
        <f t="shared" si="18"/>
        <v>-5.2477103171188255E-2</v>
      </c>
      <c r="K103" s="16">
        <f t="shared" si="19"/>
        <v>-726284</v>
      </c>
      <c r="L103" s="18">
        <f t="shared" si="23"/>
        <v>0.37491013366358727</v>
      </c>
    </row>
    <row r="104" spans="2:12" x14ac:dyDescent="0.25">
      <c r="B104" s="284"/>
      <c r="C104" s="287"/>
      <c r="D104" s="19" t="s">
        <v>48</v>
      </c>
      <c r="E104" s="20">
        <v>3367162</v>
      </c>
      <c r="F104" s="20">
        <v>8865243</v>
      </c>
      <c r="G104" s="20">
        <v>9740327</v>
      </c>
      <c r="H104" s="20">
        <v>10013119</v>
      </c>
      <c r="I104" s="20">
        <v>9994134</v>
      </c>
      <c r="J104" s="70">
        <f t="shared" si="18"/>
        <v>-1.8960126210424422E-3</v>
      </c>
      <c r="K104" s="20">
        <f t="shared" si="19"/>
        <v>-18985</v>
      </c>
      <c r="L104" s="70">
        <f>I104/$I$102</f>
        <v>0.28572353225369174</v>
      </c>
    </row>
    <row r="105" spans="2:12" x14ac:dyDescent="0.25">
      <c r="B105" s="284"/>
      <c r="C105" s="287"/>
      <c r="D105" s="19" t="s">
        <v>49</v>
      </c>
      <c r="E105" s="20">
        <v>98762</v>
      </c>
      <c r="F105" s="20">
        <v>168339</v>
      </c>
      <c r="G105" s="20">
        <v>182130</v>
      </c>
      <c r="H105" s="20">
        <v>192892</v>
      </c>
      <c r="I105" s="20">
        <v>197469</v>
      </c>
      <c r="J105" s="70">
        <f t="shared" si="18"/>
        <v>2.3728303921365379E-2</v>
      </c>
      <c r="K105" s="20">
        <f t="shared" si="19"/>
        <v>4577</v>
      </c>
      <c r="L105" s="70">
        <f t="shared" ref="L105:L112" si="24">I105/$I$102</f>
        <v>5.6454656492102529E-3</v>
      </c>
    </row>
    <row r="106" spans="2:12" x14ac:dyDescent="0.25">
      <c r="B106" s="284"/>
      <c r="C106" s="287"/>
      <c r="D106" s="19" t="s">
        <v>50</v>
      </c>
      <c r="E106" s="20">
        <v>419370</v>
      </c>
      <c r="F106" s="20">
        <v>1014697</v>
      </c>
      <c r="G106" s="20">
        <v>988170</v>
      </c>
      <c r="H106" s="20">
        <v>1361415</v>
      </c>
      <c r="I106" s="20">
        <v>1103359</v>
      </c>
      <c r="J106" s="70">
        <f t="shared" si="18"/>
        <v>-0.1895498433615026</v>
      </c>
      <c r="K106" s="20">
        <f t="shared" si="19"/>
        <v>-258056</v>
      </c>
      <c r="L106" s="70">
        <f t="shared" si="24"/>
        <v>3.1544066831993754E-2</v>
      </c>
    </row>
    <row r="107" spans="2:12" x14ac:dyDescent="0.25">
      <c r="B107" s="284"/>
      <c r="C107" s="287"/>
      <c r="D107" s="19" t="s">
        <v>51</v>
      </c>
      <c r="E107" s="20">
        <v>1967362</v>
      </c>
      <c r="F107" s="20">
        <v>4352393</v>
      </c>
      <c r="G107" s="20">
        <v>5136286</v>
      </c>
      <c r="H107" s="20">
        <v>5762502</v>
      </c>
      <c r="I107" s="20">
        <v>5666416</v>
      </c>
      <c r="J107" s="70">
        <f t="shared" si="18"/>
        <v>-1.6674354299573313E-2</v>
      </c>
      <c r="K107" s="20">
        <f t="shared" si="19"/>
        <v>-96086</v>
      </c>
      <c r="L107" s="70">
        <f t="shared" si="24"/>
        <v>0.16199786742291378</v>
      </c>
    </row>
    <row r="108" spans="2:12" x14ac:dyDescent="0.25">
      <c r="B108" s="284"/>
      <c r="C108" s="287"/>
      <c r="D108" s="19" t="s">
        <v>52</v>
      </c>
      <c r="E108" s="20">
        <v>83402</v>
      </c>
      <c r="F108" s="20">
        <v>137757</v>
      </c>
      <c r="G108" s="20">
        <v>148334</v>
      </c>
      <c r="H108" s="20">
        <v>152300</v>
      </c>
      <c r="I108" s="20">
        <v>152519</v>
      </c>
      <c r="J108" s="70">
        <f t="shared" si="18"/>
        <v>1.4379514116875658E-3</v>
      </c>
      <c r="K108" s="20">
        <f t="shared" si="19"/>
        <v>219</v>
      </c>
      <c r="L108" s="70">
        <f t="shared" si="24"/>
        <v>4.3603845431530947E-3</v>
      </c>
    </row>
    <row r="109" spans="2:12" x14ac:dyDescent="0.25">
      <c r="B109" s="284"/>
      <c r="C109" s="287"/>
      <c r="D109" s="19" t="s">
        <v>53</v>
      </c>
      <c r="E109" s="20">
        <v>749212</v>
      </c>
      <c r="F109" s="20">
        <v>1316064</v>
      </c>
      <c r="G109" s="20">
        <v>1447168</v>
      </c>
      <c r="H109" s="20">
        <v>1453294</v>
      </c>
      <c r="I109" s="20">
        <v>1411233</v>
      </c>
      <c r="J109" s="70">
        <f t="shared" si="18"/>
        <v>-2.8941838334156755E-2</v>
      </c>
      <c r="K109" s="20">
        <f t="shared" si="19"/>
        <v>-42061</v>
      </c>
      <c r="L109" s="70">
        <f t="shared" si="24"/>
        <v>4.0345914672844513E-2</v>
      </c>
    </row>
    <row r="110" spans="2:12" x14ac:dyDescent="0.25">
      <c r="B110" s="284"/>
      <c r="C110" s="287"/>
      <c r="D110" s="19" t="s">
        <v>54</v>
      </c>
      <c r="E110" s="20">
        <v>359169</v>
      </c>
      <c r="F110" s="20">
        <v>543499</v>
      </c>
      <c r="G110" s="20">
        <v>577841</v>
      </c>
      <c r="H110" s="20">
        <v>583363</v>
      </c>
      <c r="I110" s="20">
        <v>615470</v>
      </c>
      <c r="J110" s="70">
        <f t="shared" si="18"/>
        <v>5.5037772364719739E-2</v>
      </c>
      <c r="K110" s="20">
        <f t="shared" si="19"/>
        <v>32107</v>
      </c>
      <c r="L110" s="70">
        <f t="shared" si="24"/>
        <v>1.7595747905339239E-2</v>
      </c>
    </row>
    <row r="111" spans="2:12" x14ac:dyDescent="0.25">
      <c r="B111" s="284"/>
      <c r="C111" s="287"/>
      <c r="D111" s="19" t="s">
        <v>55</v>
      </c>
      <c r="E111" s="20">
        <v>774989</v>
      </c>
      <c r="F111" s="20">
        <v>1753117</v>
      </c>
      <c r="G111" s="20">
        <v>1897228</v>
      </c>
      <c r="H111" s="20">
        <v>1991159</v>
      </c>
      <c r="I111" s="20">
        <v>2013195</v>
      </c>
      <c r="J111" s="22">
        <f t="shared" si="18"/>
        <v>1.1066921325720402E-2</v>
      </c>
      <c r="K111" s="20">
        <f t="shared" si="19"/>
        <v>22036</v>
      </c>
      <c r="L111" s="22">
        <f t="shared" si="24"/>
        <v>5.7555480696523678E-2</v>
      </c>
    </row>
    <row r="112" spans="2:12" x14ac:dyDescent="0.25">
      <c r="B112" s="284"/>
      <c r="C112" s="288"/>
      <c r="D112" s="23" t="s">
        <v>56</v>
      </c>
      <c r="E112" s="71">
        <v>320278</v>
      </c>
      <c r="F112" s="71">
        <v>622441</v>
      </c>
      <c r="G112" s="71">
        <v>781228</v>
      </c>
      <c r="H112" s="71">
        <v>735699</v>
      </c>
      <c r="I112" s="71">
        <v>710809</v>
      </c>
      <c r="J112" s="48">
        <f t="shared" si="18"/>
        <v>-3.3831770873686162E-2</v>
      </c>
      <c r="K112" s="71">
        <f t="shared" si="19"/>
        <v>-24890</v>
      </c>
      <c r="L112" s="48">
        <f t="shared" si="24"/>
        <v>2.0321406360742651E-2</v>
      </c>
    </row>
    <row r="113" spans="2:12" x14ac:dyDescent="0.25">
      <c r="B113" s="284"/>
      <c r="C113" s="289" t="s">
        <v>23</v>
      </c>
      <c r="D113" s="65" t="s">
        <v>46</v>
      </c>
      <c r="E113" s="75">
        <f t="shared" ref="E113:I114" si="25">E102/E80</f>
        <v>5.9532216226677823</v>
      </c>
      <c r="F113" s="75">
        <f t="shared" si="25"/>
        <v>6.6010991064347921</v>
      </c>
      <c r="G113" s="75">
        <f t="shared" si="25"/>
        <v>6.6469938118518526</v>
      </c>
      <c r="H113" s="75">
        <f t="shared" si="25"/>
        <v>6.5810380732891716</v>
      </c>
      <c r="I113" s="75">
        <f t="shared" si="25"/>
        <v>6.4165506080420185</v>
      </c>
      <c r="J113" s="67">
        <f t="shared" si="18"/>
        <v>-2.4994151897520189E-2</v>
      </c>
      <c r="K113" s="75">
        <f t="shared" ref="K113:K114" si="26">(I113-H113)</f>
        <v>-0.16448746524715308</v>
      </c>
      <c r="L113" s="67"/>
    </row>
    <row r="114" spans="2:12" x14ac:dyDescent="0.25">
      <c r="B114" s="284"/>
      <c r="C114" s="290"/>
      <c r="D114" s="26" t="s">
        <v>47</v>
      </c>
      <c r="E114" s="37">
        <f t="shared" si="25"/>
        <v>6.5418610854156141</v>
      </c>
      <c r="F114" s="37">
        <f t="shared" si="25"/>
        <v>7.1895473603752658</v>
      </c>
      <c r="G114" s="37">
        <f t="shared" si="25"/>
        <v>7.1969730260897284</v>
      </c>
      <c r="H114" s="37">
        <f t="shared" si="25"/>
        <v>7.1379699823974985</v>
      </c>
      <c r="I114" s="37">
        <f t="shared" si="25"/>
        <v>7.0570831384801833</v>
      </c>
      <c r="J114" s="82">
        <f t="shared" si="18"/>
        <v>-1.1331911470177869E-2</v>
      </c>
      <c r="K114" s="37">
        <f t="shared" si="26"/>
        <v>-8.0886843917315154E-2</v>
      </c>
      <c r="L114" s="38"/>
    </row>
    <row r="115" spans="2:12" x14ac:dyDescent="0.25">
      <c r="B115" s="284"/>
      <c r="C115" s="290"/>
      <c r="D115" s="4" t="s">
        <v>48</v>
      </c>
      <c r="E115" s="41">
        <f>E104/E82</f>
        <v>6.8402382490482632</v>
      </c>
      <c r="F115" s="41">
        <f>F104/F82</f>
        <v>7.1290659289847085</v>
      </c>
      <c r="G115" s="41">
        <f>G104/G82</f>
        <v>7.3769342975031353</v>
      </c>
      <c r="H115" s="41">
        <f>H104/H82</f>
        <v>7.2151283150609418</v>
      </c>
      <c r="I115" s="41">
        <f>I104/I82</f>
        <v>7.0304533997772856</v>
      </c>
      <c r="J115" s="83">
        <f t="shared" si="18"/>
        <v>-2.5595513651249124E-2</v>
      </c>
      <c r="K115" s="41">
        <f>(I115-H115)</f>
        <v>-0.1846749152836562</v>
      </c>
      <c r="L115" s="77"/>
    </row>
    <row r="116" spans="2:12" x14ac:dyDescent="0.25">
      <c r="B116" s="284"/>
      <c r="C116" s="290"/>
      <c r="D116" s="4" t="s">
        <v>49</v>
      </c>
      <c r="E116" s="41">
        <f t="shared" ref="E116:I123" si="27">E105/E83</f>
        <v>4.8986657407866669</v>
      </c>
      <c r="F116" s="41">
        <f t="shared" si="27"/>
        <v>4.4591931339567168</v>
      </c>
      <c r="G116" s="41">
        <f t="shared" si="27"/>
        <v>3.556462478764328</v>
      </c>
      <c r="H116" s="41">
        <f t="shared" si="27"/>
        <v>4.2816363676721938</v>
      </c>
      <c r="I116" s="41">
        <f t="shared" si="27"/>
        <v>4.4439968493304827</v>
      </c>
      <c r="J116" s="83">
        <f t="shared" si="18"/>
        <v>3.7920193990355067E-2</v>
      </c>
      <c r="K116" s="41">
        <f t="shared" ref="K116:K123" si="28">(I116-H116)</f>
        <v>0.16236048165828887</v>
      </c>
      <c r="L116" s="77"/>
    </row>
    <row r="117" spans="2:12" x14ac:dyDescent="0.25">
      <c r="B117" s="284"/>
      <c r="C117" s="290"/>
      <c r="D117" s="4" t="s">
        <v>50</v>
      </c>
      <c r="E117" s="41">
        <f t="shared" si="27"/>
        <v>5.9650944469731453</v>
      </c>
      <c r="F117" s="41">
        <f t="shared" si="27"/>
        <v>6.2993357337968714</v>
      </c>
      <c r="G117" s="41">
        <f t="shared" si="27"/>
        <v>5.690650050677232</v>
      </c>
      <c r="H117" s="41">
        <f t="shared" si="27"/>
        <v>5.8718126768338967</v>
      </c>
      <c r="I117" s="41">
        <f t="shared" si="27"/>
        <v>5.8479032839364837</v>
      </c>
      <c r="J117" s="83">
        <f t="shared" si="18"/>
        <v>-4.0718929934094872E-3</v>
      </c>
      <c r="K117" s="41">
        <f t="shared" si="28"/>
        <v>-2.3909392897413007E-2</v>
      </c>
      <c r="L117" s="77"/>
    </row>
    <row r="118" spans="2:12" x14ac:dyDescent="0.25">
      <c r="B118" s="284"/>
      <c r="C118" s="290"/>
      <c r="D118" s="4" t="s">
        <v>51</v>
      </c>
      <c r="E118" s="41">
        <f t="shared" si="27"/>
        <v>5.5543189800228117</v>
      </c>
      <c r="F118" s="41">
        <f t="shared" si="27"/>
        <v>6.1281889542046537</v>
      </c>
      <c r="G118" s="41">
        <f t="shared" si="27"/>
        <v>6.4182475011340019</v>
      </c>
      <c r="H118" s="41">
        <f t="shared" si="27"/>
        <v>6.291229510523408</v>
      </c>
      <c r="I118" s="41">
        <f t="shared" si="27"/>
        <v>6.0448476417650596</v>
      </c>
      <c r="J118" s="83">
        <f t="shared" si="18"/>
        <v>-3.9162753217987456E-2</v>
      </c>
      <c r="K118" s="41">
        <f t="shared" si="28"/>
        <v>-0.24638186875834833</v>
      </c>
      <c r="L118" s="77"/>
    </row>
    <row r="119" spans="2:12" x14ac:dyDescent="0.25">
      <c r="B119" s="284"/>
      <c r="C119" s="290"/>
      <c r="D119" s="4" t="s">
        <v>52</v>
      </c>
      <c r="E119" s="41">
        <f t="shared" si="27"/>
        <v>2.4937806482478173</v>
      </c>
      <c r="F119" s="41">
        <f t="shared" si="27"/>
        <v>2.6756725259784404</v>
      </c>
      <c r="G119" s="41">
        <f t="shared" si="27"/>
        <v>2.5505786061867015</v>
      </c>
      <c r="H119" s="41">
        <f t="shared" si="27"/>
        <v>2.6538649194953647</v>
      </c>
      <c r="I119" s="41">
        <f t="shared" si="27"/>
        <v>2.6953963064416366</v>
      </c>
      <c r="J119" s="83">
        <f t="shared" si="18"/>
        <v>1.5649397466005688E-2</v>
      </c>
      <c r="K119" s="41">
        <f t="shared" si="28"/>
        <v>4.1531386946271898E-2</v>
      </c>
      <c r="L119" s="77"/>
    </row>
    <row r="120" spans="2:12" x14ac:dyDescent="0.25">
      <c r="B120" s="284"/>
      <c r="C120" s="290"/>
      <c r="D120" s="4" t="s">
        <v>53</v>
      </c>
      <c r="E120" s="41">
        <f t="shared" si="27"/>
        <v>6.9720730697289195</v>
      </c>
      <c r="F120" s="41">
        <f t="shared" si="27"/>
        <v>6.6176102336667117</v>
      </c>
      <c r="G120" s="41">
        <f t="shared" si="27"/>
        <v>5.729361648217651</v>
      </c>
      <c r="H120" s="41">
        <f t="shared" si="27"/>
        <v>6.0770157142498729</v>
      </c>
      <c r="I120" s="41">
        <f t="shared" si="27"/>
        <v>5.6298889367609748</v>
      </c>
      <c r="J120" s="83">
        <f t="shared" si="18"/>
        <v>-7.3576702531875871E-2</v>
      </c>
      <c r="K120" s="41">
        <f t="shared" si="28"/>
        <v>-0.44712677748889806</v>
      </c>
      <c r="L120" s="77"/>
    </row>
    <row r="121" spans="2:12" x14ac:dyDescent="0.25">
      <c r="B121" s="284"/>
      <c r="C121" s="290"/>
      <c r="D121" s="4" t="s">
        <v>54</v>
      </c>
      <c r="E121" s="41">
        <f t="shared" si="27"/>
        <v>2.1866149593931499</v>
      </c>
      <c r="F121" s="41">
        <f t="shared" si="27"/>
        <v>2.3720011696365835</v>
      </c>
      <c r="G121" s="41">
        <f t="shared" si="27"/>
        <v>2.4072295079235473</v>
      </c>
      <c r="H121" s="41">
        <f t="shared" si="27"/>
        <v>2.3296593146357729</v>
      </c>
      <c r="I121" s="41">
        <f t="shared" si="27"/>
        <v>2.1778762283219097</v>
      </c>
      <c r="J121" s="83">
        <f t="shared" si="18"/>
        <v>-6.5152481893084646E-2</v>
      </c>
      <c r="K121" s="41">
        <f t="shared" si="28"/>
        <v>-0.15178308631386317</v>
      </c>
      <c r="L121" s="77"/>
    </row>
    <row r="122" spans="2:12" x14ac:dyDescent="0.25">
      <c r="B122" s="284"/>
      <c r="C122" s="290"/>
      <c r="D122" s="4" t="s">
        <v>55</v>
      </c>
      <c r="E122" s="41">
        <f t="shared" si="27"/>
        <v>5.5219885141008653</v>
      </c>
      <c r="F122" s="41">
        <f t="shared" si="27"/>
        <v>6.81836284648623</v>
      </c>
      <c r="G122" s="41">
        <f t="shared" si="27"/>
        <v>6.757255964867916</v>
      </c>
      <c r="H122" s="41">
        <f t="shared" si="27"/>
        <v>6.9053546037801281</v>
      </c>
      <c r="I122" s="41">
        <f t="shared" si="27"/>
        <v>6.9984252461204735</v>
      </c>
      <c r="J122" s="31">
        <f t="shared" si="18"/>
        <v>1.3478039533175723E-2</v>
      </c>
      <c r="K122" s="41">
        <f t="shared" si="28"/>
        <v>9.3070642340345344E-2</v>
      </c>
      <c r="L122" s="42"/>
    </row>
    <row r="123" spans="2:12" x14ac:dyDescent="0.25">
      <c r="B123" s="284"/>
      <c r="C123" s="291"/>
      <c r="D123" s="32" t="s">
        <v>56</v>
      </c>
      <c r="E123" s="79">
        <f t="shared" si="27"/>
        <v>4.4508400617018022</v>
      </c>
      <c r="F123" s="79">
        <f t="shared" si="27"/>
        <v>5.585586474869209</v>
      </c>
      <c r="G123" s="79">
        <f t="shared" si="27"/>
        <v>6.3356852059104991</v>
      </c>
      <c r="H123" s="79">
        <f t="shared" si="27"/>
        <v>5.7291629352168396</v>
      </c>
      <c r="I123" s="79">
        <f t="shared" si="27"/>
        <v>5.7575431121767089</v>
      </c>
      <c r="J123" s="74">
        <f t="shared" si="18"/>
        <v>4.9536341138805007E-3</v>
      </c>
      <c r="K123" s="79">
        <f t="shared" si="28"/>
        <v>2.8380176959869274E-2</v>
      </c>
      <c r="L123" s="57"/>
    </row>
    <row r="124" spans="2:12" x14ac:dyDescent="0.25">
      <c r="B124" s="284"/>
      <c r="C124" s="292" t="s">
        <v>37</v>
      </c>
      <c r="D124" s="65" t="s">
        <v>46</v>
      </c>
      <c r="E124" s="67">
        <v>0.46071549284573426</v>
      </c>
      <c r="F124" s="67">
        <v>0.66257277613676679</v>
      </c>
      <c r="G124" s="67">
        <v>0.75278316087982655</v>
      </c>
      <c r="H124" s="67">
        <v>0.72939896587816766</v>
      </c>
      <c r="I124" s="67">
        <v>0.76271640953782749</v>
      </c>
      <c r="J124" s="67">
        <f t="shared" si="18"/>
        <v>4.567794200194264E-2</v>
      </c>
      <c r="K124" s="75">
        <f t="shared" ref="K124:K125" si="29">(I124-H124)*100</f>
        <v>3.3317443659659829</v>
      </c>
      <c r="L124" s="67"/>
    </row>
    <row r="125" spans="2:12" x14ac:dyDescent="0.25">
      <c r="B125" s="284"/>
      <c r="C125" s="293"/>
      <c r="D125" s="15" t="s">
        <v>47</v>
      </c>
      <c r="E125" s="18">
        <v>0.53007392392769836</v>
      </c>
      <c r="F125" s="18">
        <v>0.75084425784599895</v>
      </c>
      <c r="G125" s="18">
        <v>0.81137456860272439</v>
      </c>
      <c r="H125" s="18">
        <v>0.76364878445084972</v>
      </c>
      <c r="I125" s="18">
        <v>0.79492109395832511</v>
      </c>
      <c r="J125" s="18">
        <f t="shared" si="18"/>
        <v>4.0951167793665366E-2</v>
      </c>
      <c r="K125" s="45">
        <f t="shared" si="29"/>
        <v>3.1272309507475393</v>
      </c>
      <c r="L125" s="18"/>
    </row>
    <row r="126" spans="2:12" x14ac:dyDescent="0.25">
      <c r="B126" s="284"/>
      <c r="C126" s="293"/>
      <c r="D126" s="19" t="s">
        <v>48</v>
      </c>
      <c r="E126" s="70">
        <v>0.38237984856351559</v>
      </c>
      <c r="F126" s="70">
        <v>0.58966570828384113</v>
      </c>
      <c r="G126" s="70">
        <v>0.7120968992437916</v>
      </c>
      <c r="H126" s="70">
        <v>0.69114669074227841</v>
      </c>
      <c r="I126" s="70">
        <v>0.73569515745498237</v>
      </c>
      <c r="J126" s="70">
        <f t="shared" si="18"/>
        <v>6.4455877904674219E-2</v>
      </c>
      <c r="K126" s="46">
        <f>(I126-H126)*100</f>
        <v>4.4548466712703956</v>
      </c>
      <c r="L126" s="70"/>
    </row>
    <row r="127" spans="2:12" x14ac:dyDescent="0.25">
      <c r="B127" s="284"/>
      <c r="C127" s="293"/>
      <c r="D127" s="19" t="s">
        <v>49</v>
      </c>
      <c r="E127" s="70">
        <v>0.40408330264719122</v>
      </c>
      <c r="F127" s="70">
        <v>0.53629592343863497</v>
      </c>
      <c r="G127" s="70">
        <v>0.55483289211938058</v>
      </c>
      <c r="H127" s="70">
        <v>0.53989028213166146</v>
      </c>
      <c r="I127" s="70">
        <v>0.59322446331044176</v>
      </c>
      <c r="J127" s="70">
        <f t="shared" si="18"/>
        <v>9.8787073862859121E-2</v>
      </c>
      <c r="K127" s="46">
        <f t="shared" ref="K127:K134" si="30">(I127-H127)*100</f>
        <v>5.3334181178780309</v>
      </c>
      <c r="L127" s="70"/>
    </row>
    <row r="128" spans="2:12" x14ac:dyDescent="0.25">
      <c r="B128" s="284"/>
      <c r="C128" s="293"/>
      <c r="D128" s="19" t="s">
        <v>50</v>
      </c>
      <c r="E128" s="70">
        <v>0.28621210694206145</v>
      </c>
      <c r="F128" s="70">
        <v>0.59390060461332261</v>
      </c>
      <c r="G128" s="70">
        <v>0.61609450810074784</v>
      </c>
      <c r="H128" s="70">
        <v>0.78254834111236293</v>
      </c>
      <c r="I128" s="70">
        <v>0.65487464685073948</v>
      </c>
      <c r="J128" s="70">
        <f t="shared" si="18"/>
        <v>-0.16315119150356916</v>
      </c>
      <c r="K128" s="46">
        <f t="shared" si="30"/>
        <v>-12.767369426162345</v>
      </c>
      <c r="L128" s="70"/>
    </row>
    <row r="129" spans="2:12" x14ac:dyDescent="0.25">
      <c r="B129" s="284"/>
      <c r="C129" s="293"/>
      <c r="D129" s="19" t="s">
        <v>51</v>
      </c>
      <c r="E129" s="70">
        <v>0.48615455783025679</v>
      </c>
      <c r="F129" s="70">
        <v>0.62422273216206525</v>
      </c>
      <c r="G129" s="70">
        <v>0.73256253105658276</v>
      </c>
      <c r="H129" s="70">
        <v>0.73648588804063642</v>
      </c>
      <c r="I129" s="70">
        <v>0.77515282700025978</v>
      </c>
      <c r="J129" s="70">
        <f t="shared" si="18"/>
        <v>5.2501941432297805E-2</v>
      </c>
      <c r="K129" s="46">
        <f t="shared" si="30"/>
        <v>3.8666938959623365</v>
      </c>
      <c r="L129" s="70"/>
    </row>
    <row r="130" spans="2:12" x14ac:dyDescent="0.25">
      <c r="B130" s="284"/>
      <c r="C130" s="293"/>
      <c r="D130" s="19" t="s">
        <v>52</v>
      </c>
      <c r="E130" s="70">
        <v>0.42945341263098274</v>
      </c>
      <c r="F130" s="70">
        <v>0.57741590694750078</v>
      </c>
      <c r="G130" s="70">
        <v>0.61259601883208059</v>
      </c>
      <c r="H130" s="70">
        <v>0.57002556319498765</v>
      </c>
      <c r="I130" s="70">
        <v>0.62089193755215866</v>
      </c>
      <c r="J130" s="70">
        <f t="shared" si="18"/>
        <v>8.9235251261479354E-2</v>
      </c>
      <c r="K130" s="46">
        <f t="shared" si="30"/>
        <v>5.0866374357171011</v>
      </c>
      <c r="L130" s="70"/>
    </row>
    <row r="131" spans="2:12" x14ac:dyDescent="0.25">
      <c r="B131" s="284"/>
      <c r="C131" s="293"/>
      <c r="D131" s="19" t="s">
        <v>53</v>
      </c>
      <c r="E131" s="70">
        <v>0.70336128458075009</v>
      </c>
      <c r="F131" s="70">
        <v>0.77576111963529215</v>
      </c>
      <c r="G131" s="70">
        <v>0.82779844332469787</v>
      </c>
      <c r="H131" s="70">
        <v>0.77423661488907958</v>
      </c>
      <c r="I131" s="70">
        <v>0.81840355885878524</v>
      </c>
      <c r="J131" s="70">
        <f t="shared" si="18"/>
        <v>5.7045795975475988E-2</v>
      </c>
      <c r="K131" s="46">
        <f t="shared" si="30"/>
        <v>4.4166943969705663</v>
      </c>
      <c r="L131" s="70"/>
    </row>
    <row r="132" spans="2:12" x14ac:dyDescent="0.25">
      <c r="B132" s="284"/>
      <c r="C132" s="293"/>
      <c r="D132" s="19" t="s">
        <v>54</v>
      </c>
      <c r="E132" s="70">
        <v>0.43287194104141685</v>
      </c>
      <c r="F132" s="70">
        <v>0.55540181632567553</v>
      </c>
      <c r="G132" s="70">
        <v>0.57078552018499329</v>
      </c>
      <c r="H132" s="70">
        <v>0.54033403912807498</v>
      </c>
      <c r="I132" s="70">
        <v>0.63035262548776605</v>
      </c>
      <c r="J132" s="70">
        <f t="shared" si="18"/>
        <v>0.16659802981309868</v>
      </c>
      <c r="K132" s="46">
        <f t="shared" si="30"/>
        <v>9.0018586359691071</v>
      </c>
      <c r="L132" s="70"/>
    </row>
    <row r="133" spans="2:12" x14ac:dyDescent="0.25">
      <c r="B133" s="284"/>
      <c r="C133" s="293"/>
      <c r="D133" s="19" t="s">
        <v>55</v>
      </c>
      <c r="E133" s="70">
        <v>0.48201408869433904</v>
      </c>
      <c r="F133" s="70">
        <v>0.71738538865739221</v>
      </c>
      <c r="G133" s="70">
        <v>0.81783519993171871</v>
      </c>
      <c r="H133" s="70">
        <v>0.796368991363826</v>
      </c>
      <c r="I133" s="70">
        <v>0.84894608892196821</v>
      </c>
      <c r="J133" s="70">
        <f t="shared" si="18"/>
        <v>6.6021025590287108E-2</v>
      </c>
      <c r="K133" s="46">
        <f t="shared" si="30"/>
        <v>5.2577097558142221</v>
      </c>
      <c r="L133" s="22"/>
    </row>
    <row r="134" spans="2:12" x14ac:dyDescent="0.25">
      <c r="B134" s="284"/>
      <c r="C134" s="294"/>
      <c r="D134" s="23" t="s">
        <v>56</v>
      </c>
      <c r="E134" s="70">
        <v>0.30640431884692987</v>
      </c>
      <c r="F134" s="70">
        <v>0.52346567968264468</v>
      </c>
      <c r="G134" s="70">
        <v>0.69664796996638179</v>
      </c>
      <c r="H134" s="70">
        <v>0.60474011018006602</v>
      </c>
      <c r="I134" s="70">
        <v>0.6273074747310724</v>
      </c>
      <c r="J134" s="70">
        <f t="shared" si="18"/>
        <v>3.7317459469137448E-2</v>
      </c>
      <c r="K134" s="46">
        <f t="shared" si="30"/>
        <v>2.2567364551006386</v>
      </c>
      <c r="L134" s="48"/>
    </row>
    <row r="135" spans="2:12" x14ac:dyDescent="0.25">
      <c r="B135" s="284"/>
      <c r="C135" s="295" t="s">
        <v>40</v>
      </c>
      <c r="D135" s="65" t="s">
        <v>46</v>
      </c>
      <c r="E135" s="66">
        <v>82455.583333333328</v>
      </c>
      <c r="F135" s="66">
        <v>129725.25</v>
      </c>
      <c r="G135" s="66">
        <v>125536.41666666667</v>
      </c>
      <c r="H135" s="66">
        <v>135046.16666666666</v>
      </c>
      <c r="I135" s="66">
        <v>125646.66666666667</v>
      </c>
      <c r="J135" s="67">
        <f t="shared" si="18"/>
        <v>-6.9602123718185194E-2</v>
      </c>
      <c r="K135" s="66">
        <f t="shared" ref="K135:K136" si="31">I135-H135</f>
        <v>-9399.4999999999854</v>
      </c>
      <c r="L135" s="67">
        <f>I135/$I$135</f>
        <v>1</v>
      </c>
    </row>
    <row r="136" spans="2:12" x14ac:dyDescent="0.25">
      <c r="B136" s="284"/>
      <c r="C136" s="290"/>
      <c r="D136" s="26" t="s">
        <v>47</v>
      </c>
      <c r="E136" s="27">
        <v>29696.5</v>
      </c>
      <c r="F136" s="27">
        <v>46054.083333333336</v>
      </c>
      <c r="G136" s="27">
        <v>45902.166666666664</v>
      </c>
      <c r="H136" s="27">
        <v>49468.416666666664</v>
      </c>
      <c r="I136" s="27">
        <v>45191.416666666664</v>
      </c>
      <c r="J136" s="36">
        <f t="shared" si="18"/>
        <v>-8.64592054526373E-2</v>
      </c>
      <c r="K136" s="27">
        <f t="shared" si="31"/>
        <v>-4277</v>
      </c>
      <c r="L136" s="38">
        <f t="shared" ref="L136:L145" si="32">I136/$I$135</f>
        <v>0.35967063723669546</v>
      </c>
    </row>
    <row r="137" spans="2:12" x14ac:dyDescent="0.25">
      <c r="B137" s="284"/>
      <c r="C137" s="290"/>
      <c r="D137" s="4" t="s">
        <v>48</v>
      </c>
      <c r="E137" s="29">
        <v>24064.333333333332</v>
      </c>
      <c r="F137" s="29">
        <v>41118.666666666664</v>
      </c>
      <c r="G137" s="29">
        <v>37475.083333333336</v>
      </c>
      <c r="H137" s="29">
        <v>39555.75</v>
      </c>
      <c r="I137" s="29">
        <v>37223.166666666664</v>
      </c>
      <c r="J137" s="76">
        <f>I137/H137-1</f>
        <v>-5.8969513492560188E-2</v>
      </c>
      <c r="K137" s="29">
        <f>I137-H137</f>
        <v>-2332.5833333333358</v>
      </c>
      <c r="L137" s="77">
        <f t="shared" si="32"/>
        <v>0.2962527192656656</v>
      </c>
    </row>
    <row r="138" spans="2:12" x14ac:dyDescent="0.25">
      <c r="B138" s="284"/>
      <c r="C138" s="290"/>
      <c r="D138" s="4" t="s">
        <v>49</v>
      </c>
      <c r="E138" s="29">
        <v>668.66666666666663</v>
      </c>
      <c r="F138" s="29">
        <v>859.66666666666663</v>
      </c>
      <c r="G138" s="29">
        <v>899.58333333333337</v>
      </c>
      <c r="H138" s="29">
        <v>974.75</v>
      </c>
      <c r="I138" s="29">
        <v>912</v>
      </c>
      <c r="J138" s="76">
        <f t="shared" ref="J138:J145" si="33">I138/H138-1</f>
        <v>-6.437548089253653E-2</v>
      </c>
      <c r="K138" s="29">
        <f t="shared" ref="K138:K145" si="34">I138-H138</f>
        <v>-62.75</v>
      </c>
      <c r="L138" s="77">
        <f t="shared" si="32"/>
        <v>7.2584496206292773E-3</v>
      </c>
    </row>
    <row r="139" spans="2:12" x14ac:dyDescent="0.25">
      <c r="B139" s="284"/>
      <c r="C139" s="290"/>
      <c r="D139" s="4" t="s">
        <v>50</v>
      </c>
      <c r="E139" s="29">
        <v>4011.6666666666665</v>
      </c>
      <c r="F139" s="29">
        <v>4678.666666666667</v>
      </c>
      <c r="G139" s="29">
        <v>4395.166666666667</v>
      </c>
      <c r="H139" s="29">
        <v>4748.333333333333</v>
      </c>
      <c r="I139" s="29">
        <v>4616</v>
      </c>
      <c r="J139" s="76">
        <f t="shared" si="33"/>
        <v>-2.786942786942781E-2</v>
      </c>
      <c r="K139" s="29">
        <f t="shared" si="34"/>
        <v>-132.33333333333303</v>
      </c>
      <c r="L139" s="77">
        <f t="shared" si="32"/>
        <v>3.6737942378097306E-2</v>
      </c>
    </row>
    <row r="140" spans="2:12" x14ac:dyDescent="0.25">
      <c r="B140" s="284"/>
      <c r="C140" s="290"/>
      <c r="D140" s="4" t="s">
        <v>51</v>
      </c>
      <c r="E140" s="29">
        <v>11050.166666666666</v>
      </c>
      <c r="F140" s="29">
        <v>19088.333333333332</v>
      </c>
      <c r="G140" s="29">
        <v>19209.333333333332</v>
      </c>
      <c r="H140" s="29">
        <v>21355.25</v>
      </c>
      <c r="I140" s="29">
        <v>20029.166666666668</v>
      </c>
      <c r="J140" s="76">
        <f t="shared" si="33"/>
        <v>-6.2096361940662481E-2</v>
      </c>
      <c r="K140" s="29">
        <f t="shared" si="34"/>
        <v>-1326.0833333333321</v>
      </c>
      <c r="L140" s="77">
        <f t="shared" si="32"/>
        <v>0.15940865920305619</v>
      </c>
    </row>
    <row r="141" spans="2:12" x14ac:dyDescent="0.25">
      <c r="B141" s="284"/>
      <c r="C141" s="290"/>
      <c r="D141" s="4" t="s">
        <v>52</v>
      </c>
      <c r="E141" s="29">
        <v>531.66666666666663</v>
      </c>
      <c r="F141" s="29">
        <v>653.5</v>
      </c>
      <c r="G141" s="29">
        <v>663.41666666666663</v>
      </c>
      <c r="H141" s="29">
        <v>729.08333333333337</v>
      </c>
      <c r="I141" s="29">
        <v>673</v>
      </c>
      <c r="J141" s="76">
        <f t="shared" si="33"/>
        <v>-7.6923076923076983E-2</v>
      </c>
      <c r="K141" s="29">
        <f t="shared" si="34"/>
        <v>-56.083333333333371</v>
      </c>
      <c r="L141" s="77">
        <f t="shared" si="32"/>
        <v>5.3562901257494556E-3</v>
      </c>
    </row>
    <row r="142" spans="2:12" x14ac:dyDescent="0.25">
      <c r="B142" s="284"/>
      <c r="C142" s="290"/>
      <c r="D142" s="4" t="s">
        <v>53</v>
      </c>
      <c r="E142" s="29">
        <v>2907.75</v>
      </c>
      <c r="F142" s="29">
        <v>4643.333333333333</v>
      </c>
      <c r="G142" s="29">
        <v>4789.666666666667</v>
      </c>
      <c r="H142" s="29">
        <v>5123.25</v>
      </c>
      <c r="I142" s="29">
        <v>4725</v>
      </c>
      <c r="J142" s="76">
        <f t="shared" si="33"/>
        <v>-7.7733860342556027E-2</v>
      </c>
      <c r="K142" s="29">
        <f t="shared" si="34"/>
        <v>-398.25</v>
      </c>
      <c r="L142" s="77">
        <f t="shared" si="32"/>
        <v>3.7605454448983923E-2</v>
      </c>
    </row>
    <row r="143" spans="2:12" x14ac:dyDescent="0.25">
      <c r="B143" s="284"/>
      <c r="C143" s="290"/>
      <c r="D143" s="4" t="s">
        <v>54</v>
      </c>
      <c r="E143" s="29">
        <v>2270</v>
      </c>
      <c r="F143" s="29">
        <v>2680.25</v>
      </c>
      <c r="G143" s="29">
        <v>2774.0833333333335</v>
      </c>
      <c r="H143" s="29">
        <v>2946</v>
      </c>
      <c r="I143" s="29">
        <v>2675.416666666667</v>
      </c>
      <c r="J143" s="76">
        <f t="shared" si="33"/>
        <v>-9.1847703100248812E-2</v>
      </c>
      <c r="K143" s="29">
        <f t="shared" si="34"/>
        <v>-270.58333333333303</v>
      </c>
      <c r="L143" s="77">
        <f t="shared" si="32"/>
        <v>2.1293176632885873E-2</v>
      </c>
    </row>
    <row r="144" spans="2:12" x14ac:dyDescent="0.25">
      <c r="B144" s="284"/>
      <c r="C144" s="290"/>
      <c r="D144" s="4" t="s">
        <v>55</v>
      </c>
      <c r="E144" s="29">
        <v>4392.5</v>
      </c>
      <c r="F144" s="29">
        <v>6689.916666666667</v>
      </c>
      <c r="G144" s="29">
        <v>6355.5</v>
      </c>
      <c r="H144" s="29">
        <v>6824.916666666667</v>
      </c>
      <c r="I144" s="29">
        <v>6497</v>
      </c>
      <c r="J144" s="40">
        <f t="shared" si="33"/>
        <v>-4.8046984700667927E-2</v>
      </c>
      <c r="K144" s="29">
        <f t="shared" si="34"/>
        <v>-327.91666666666697</v>
      </c>
      <c r="L144" s="42">
        <f t="shared" si="32"/>
        <v>5.1708494720645197E-2</v>
      </c>
    </row>
    <row r="145" spans="2:12" x14ac:dyDescent="0.25">
      <c r="B145" s="285"/>
      <c r="C145" s="291"/>
      <c r="D145" s="32" t="s">
        <v>56</v>
      </c>
      <c r="E145" s="73">
        <v>2862.3333333333335</v>
      </c>
      <c r="F145" s="73">
        <v>3258.8333333333335</v>
      </c>
      <c r="G145" s="73">
        <v>3072.4166666666665</v>
      </c>
      <c r="H145" s="73">
        <v>3320.4166666666665</v>
      </c>
      <c r="I145" s="73">
        <v>3104.4999999999995</v>
      </c>
      <c r="J145" s="63">
        <f t="shared" si="33"/>
        <v>-6.5026979545739882E-2</v>
      </c>
      <c r="K145" s="73">
        <f t="shared" si="34"/>
        <v>-215.91666666666697</v>
      </c>
      <c r="L145" s="57">
        <f t="shared" si="32"/>
        <v>2.4708176367591653E-2</v>
      </c>
    </row>
    <row r="146" spans="2:12" ht="6" customHeight="1" x14ac:dyDescent="0.25">
      <c r="B146" s="280"/>
      <c r="C146" s="280"/>
      <c r="D146" s="280"/>
      <c r="E146" s="280"/>
      <c r="F146" s="280"/>
      <c r="G146" s="280"/>
      <c r="H146" s="280"/>
      <c r="I146" s="280"/>
      <c r="J146" s="280"/>
      <c r="K146" s="280"/>
      <c r="L146" s="49"/>
    </row>
    <row r="147" spans="2:12" x14ac:dyDescent="0.25">
      <c r="B147" s="282" t="s">
        <v>58</v>
      </c>
      <c r="C147" s="282"/>
      <c r="D147" s="282"/>
      <c r="E147" s="282"/>
      <c r="F147" s="282"/>
      <c r="G147" s="282"/>
      <c r="H147" s="282"/>
      <c r="I147" s="282"/>
      <c r="J147" s="282"/>
      <c r="K147" s="282"/>
    </row>
    <row r="148" spans="2:12" x14ac:dyDescent="0.25">
      <c r="B148" s="62"/>
    </row>
    <row r="150" spans="2:12" ht="21.75" thickBot="1" x14ac:dyDescent="0.3">
      <c r="B150" s="283" t="s">
        <v>59</v>
      </c>
      <c r="C150" s="283"/>
      <c r="D150" s="283"/>
      <c r="E150" s="283"/>
      <c r="F150" s="283"/>
      <c r="G150" s="283"/>
      <c r="H150" s="283"/>
      <c r="I150" s="283"/>
      <c r="J150" s="283"/>
      <c r="K150" s="283"/>
      <c r="L150" s="12"/>
    </row>
    <row r="151" spans="2:12" ht="15.75" thickBot="1" x14ac:dyDescent="0.3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4"/>
      <c r="C152" s="4"/>
      <c r="D152" s="4"/>
      <c r="E152" s="14">
        <v>2021</v>
      </c>
      <c r="F152" s="14">
        <v>2022</v>
      </c>
      <c r="G152" s="14">
        <v>2023</v>
      </c>
      <c r="H152" s="14">
        <v>2024</v>
      </c>
      <c r="I152" s="14">
        <v>2025</v>
      </c>
      <c r="J152" s="14" t="str">
        <f>CONCATENATE("var. ",RIGHT(I152,2),"/",RIGHT(H152,2))</f>
        <v>var. 25/24</v>
      </c>
      <c r="K152" s="14" t="str">
        <f>CONCATENATE("dif. ",RIGHT(I152,2),"/",RIGHT(H152,2))</f>
        <v>dif. 25/24</v>
      </c>
      <c r="L152" s="14" t="str">
        <f>CONCATENATE("cuota ",I152)</f>
        <v>cuota 2025</v>
      </c>
    </row>
    <row r="153" spans="2:12" x14ac:dyDescent="0.25">
      <c r="B153" s="296" t="s">
        <v>45</v>
      </c>
      <c r="C153" s="286" t="s">
        <v>8</v>
      </c>
      <c r="D153" s="65" t="s">
        <v>46</v>
      </c>
      <c r="E153" s="66">
        <v>2335438</v>
      </c>
      <c r="F153" s="66">
        <v>4757683</v>
      </c>
      <c r="G153" s="66">
        <v>5189113</v>
      </c>
      <c r="H153" s="66">
        <v>5483293</v>
      </c>
      <c r="I153" s="66">
        <v>5451268</v>
      </c>
      <c r="J153" s="67">
        <f>I153/H153-1</f>
        <v>-5.8404684921998795E-3</v>
      </c>
      <c r="K153" s="66">
        <f>I153-H153</f>
        <v>-32025</v>
      </c>
      <c r="L153" s="67">
        <f>I153/$I$153</f>
        <v>1</v>
      </c>
    </row>
    <row r="154" spans="2:12" x14ac:dyDescent="0.25">
      <c r="B154" s="284"/>
      <c r="C154" s="287"/>
      <c r="D154" s="15" t="s">
        <v>47</v>
      </c>
      <c r="E154" s="16">
        <v>881045</v>
      </c>
      <c r="F154" s="16">
        <v>1757049</v>
      </c>
      <c r="G154" s="16">
        <v>1888751</v>
      </c>
      <c r="H154" s="16">
        <v>1938929</v>
      </c>
      <c r="I154" s="16">
        <v>1858237</v>
      </c>
      <c r="J154" s="18">
        <f t="shared" ref="J154" si="35">I154/H154-1</f>
        <v>-4.1616789475014349E-2</v>
      </c>
      <c r="K154" s="16">
        <f t="shared" ref="K154" si="36">I154-H154</f>
        <v>-80692</v>
      </c>
      <c r="L154" s="18">
        <f t="shared" ref="L154:L163" si="37">I154/$I$153</f>
        <v>0.34088160772869724</v>
      </c>
    </row>
    <row r="155" spans="2:12" x14ac:dyDescent="0.25">
      <c r="B155" s="284"/>
      <c r="C155" s="287"/>
      <c r="D155" s="19" t="s">
        <v>48</v>
      </c>
      <c r="E155" s="20">
        <v>492258</v>
      </c>
      <c r="F155" s="20">
        <v>1243535</v>
      </c>
      <c r="G155" s="20">
        <v>1320376</v>
      </c>
      <c r="H155" s="20">
        <v>1387795</v>
      </c>
      <c r="I155" s="20">
        <v>1421549</v>
      </c>
      <c r="J155" s="70">
        <f>I155/H155-1</f>
        <v>2.4322036035581585E-2</v>
      </c>
      <c r="K155" s="20">
        <f>I155-H155</f>
        <v>33754</v>
      </c>
      <c r="L155" s="70">
        <f t="shared" si="37"/>
        <v>0.26077400707505116</v>
      </c>
    </row>
    <row r="156" spans="2:12" x14ac:dyDescent="0.25">
      <c r="B156" s="284"/>
      <c r="C156" s="287"/>
      <c r="D156" s="19" t="s">
        <v>49</v>
      </c>
      <c r="E156" s="20">
        <v>20161</v>
      </c>
      <c r="F156" s="20">
        <v>37751</v>
      </c>
      <c r="G156" s="20">
        <v>51211</v>
      </c>
      <c r="H156" s="20">
        <v>45051</v>
      </c>
      <c r="I156" s="20">
        <v>44435</v>
      </c>
      <c r="J156" s="70">
        <f t="shared" ref="J156:J218" si="38">I156/H156-1</f>
        <v>-1.3673392377527738E-2</v>
      </c>
      <c r="K156" s="20">
        <f t="shared" ref="K156:K185" si="39">I156-H156</f>
        <v>-616</v>
      </c>
      <c r="L156" s="70">
        <f t="shared" si="37"/>
        <v>8.1513145198511619E-3</v>
      </c>
    </row>
    <row r="157" spans="2:12" x14ac:dyDescent="0.25">
      <c r="B157" s="284"/>
      <c r="C157" s="287"/>
      <c r="D157" s="19" t="s">
        <v>50</v>
      </c>
      <c r="E157" s="20">
        <v>70304</v>
      </c>
      <c r="F157" s="20">
        <v>161080</v>
      </c>
      <c r="G157" s="20">
        <v>173648</v>
      </c>
      <c r="H157" s="20">
        <v>231856</v>
      </c>
      <c r="I157" s="20">
        <v>188676</v>
      </c>
      <c r="J157" s="70">
        <f t="shared" si="38"/>
        <v>-0.1862362845904354</v>
      </c>
      <c r="K157" s="20">
        <f t="shared" si="39"/>
        <v>-43180</v>
      </c>
      <c r="L157" s="70">
        <f t="shared" si="37"/>
        <v>3.461139683464471E-2</v>
      </c>
    </row>
    <row r="158" spans="2:12" x14ac:dyDescent="0.25">
      <c r="B158" s="284"/>
      <c r="C158" s="287"/>
      <c r="D158" s="19" t="s">
        <v>51</v>
      </c>
      <c r="E158" s="20">
        <v>354204</v>
      </c>
      <c r="F158" s="20">
        <v>710225</v>
      </c>
      <c r="G158" s="20">
        <v>800263</v>
      </c>
      <c r="H158" s="20">
        <v>915958</v>
      </c>
      <c r="I158" s="20">
        <v>937396</v>
      </c>
      <c r="J158" s="70">
        <f t="shared" si="38"/>
        <v>2.3405003286176784E-2</v>
      </c>
      <c r="K158" s="20">
        <f t="shared" si="39"/>
        <v>21438</v>
      </c>
      <c r="L158" s="70">
        <f t="shared" si="37"/>
        <v>0.17195925791944186</v>
      </c>
    </row>
    <row r="159" spans="2:12" x14ac:dyDescent="0.25">
      <c r="B159" s="284"/>
      <c r="C159" s="287"/>
      <c r="D159" s="19" t="s">
        <v>52</v>
      </c>
      <c r="E159" s="20">
        <v>33444</v>
      </c>
      <c r="F159" s="20">
        <v>51485</v>
      </c>
      <c r="G159" s="20">
        <v>58157</v>
      </c>
      <c r="H159" s="20">
        <v>57388</v>
      </c>
      <c r="I159" s="20">
        <v>56585</v>
      </c>
      <c r="J159" s="70">
        <f t="shared" si="38"/>
        <v>-1.3992472293859359E-2</v>
      </c>
      <c r="K159" s="20">
        <f t="shared" si="39"/>
        <v>-803</v>
      </c>
      <c r="L159" s="70">
        <f t="shared" si="37"/>
        <v>1.0380153755052952E-2</v>
      </c>
    </row>
    <row r="160" spans="2:12" x14ac:dyDescent="0.25">
      <c r="B160" s="284"/>
      <c r="C160" s="287"/>
      <c r="D160" s="19" t="s">
        <v>53</v>
      </c>
      <c r="E160" s="20">
        <v>107459</v>
      </c>
      <c r="F160" s="20">
        <v>198873</v>
      </c>
      <c r="G160" s="20">
        <v>252588</v>
      </c>
      <c r="H160" s="20">
        <v>239146</v>
      </c>
      <c r="I160" s="20">
        <v>250668</v>
      </c>
      <c r="J160" s="70">
        <f t="shared" si="38"/>
        <v>4.8179773025682993E-2</v>
      </c>
      <c r="K160" s="20">
        <f t="shared" si="39"/>
        <v>11522</v>
      </c>
      <c r="L160" s="70">
        <f t="shared" si="37"/>
        <v>4.5983429910252074E-2</v>
      </c>
    </row>
    <row r="161" spans="2:12" x14ac:dyDescent="0.25">
      <c r="B161" s="284"/>
      <c r="C161" s="287"/>
      <c r="D161" s="19" t="s">
        <v>54</v>
      </c>
      <c r="E161" s="20">
        <v>164258</v>
      </c>
      <c r="F161" s="20">
        <v>229131</v>
      </c>
      <c r="G161" s="20">
        <v>240044</v>
      </c>
      <c r="H161" s="20">
        <v>250407</v>
      </c>
      <c r="I161" s="20">
        <v>282601</v>
      </c>
      <c r="J161" s="70">
        <f t="shared" si="38"/>
        <v>0.12856669342310711</v>
      </c>
      <c r="K161" s="20">
        <f t="shared" si="39"/>
        <v>32194</v>
      </c>
      <c r="L161" s="70">
        <f t="shared" si="37"/>
        <v>5.184133306232605E-2</v>
      </c>
    </row>
    <row r="162" spans="2:12" x14ac:dyDescent="0.25">
      <c r="B162" s="284"/>
      <c r="C162" s="287"/>
      <c r="D162" s="19" t="s">
        <v>55</v>
      </c>
      <c r="E162" s="20">
        <v>140346</v>
      </c>
      <c r="F162" s="20">
        <v>257117</v>
      </c>
      <c r="G162" s="20">
        <v>280769</v>
      </c>
      <c r="H162" s="20">
        <v>288350</v>
      </c>
      <c r="I162" s="20">
        <v>287664</v>
      </c>
      <c r="J162" s="22">
        <f t="shared" si="38"/>
        <v>-2.3790532339170722E-3</v>
      </c>
      <c r="K162" s="20">
        <f t="shared" si="39"/>
        <v>-686</v>
      </c>
      <c r="L162" s="22">
        <f t="shared" si="37"/>
        <v>5.277010779877269E-2</v>
      </c>
    </row>
    <row r="163" spans="2:12" x14ac:dyDescent="0.25">
      <c r="B163" s="284"/>
      <c r="C163" s="288"/>
      <c r="D163" s="23" t="s">
        <v>56</v>
      </c>
      <c r="E163" s="71">
        <v>71959</v>
      </c>
      <c r="F163" s="71">
        <v>111437</v>
      </c>
      <c r="G163" s="71">
        <v>123306</v>
      </c>
      <c r="H163" s="71">
        <v>128413</v>
      </c>
      <c r="I163" s="71">
        <v>123457</v>
      </c>
      <c r="J163" s="48">
        <f t="shared" si="38"/>
        <v>-3.8594223326298693E-2</v>
      </c>
      <c r="K163" s="71">
        <f t="shared" si="39"/>
        <v>-4956</v>
      </c>
      <c r="L163" s="48">
        <f t="shared" si="37"/>
        <v>2.2647391395910089E-2</v>
      </c>
    </row>
    <row r="164" spans="2:12" x14ac:dyDescent="0.25">
      <c r="B164" s="284"/>
      <c r="C164" s="289" t="s">
        <v>18</v>
      </c>
      <c r="D164" s="65" t="s">
        <v>46</v>
      </c>
      <c r="E164" s="66">
        <v>2347681</v>
      </c>
      <c r="F164" s="66">
        <v>4832844</v>
      </c>
      <c r="G164" s="66">
        <v>5281667</v>
      </c>
      <c r="H164" s="66">
        <v>5579982</v>
      </c>
      <c r="I164" s="66">
        <v>5548336</v>
      </c>
      <c r="J164" s="67">
        <f>I164/H164-1</f>
        <v>-5.6713444595341E-3</v>
      </c>
      <c r="K164" s="66">
        <f>I164-H164</f>
        <v>-31646</v>
      </c>
      <c r="L164" s="67">
        <f t="shared" ref="L164:L174" si="40">I164/$I$164</f>
        <v>1</v>
      </c>
    </row>
    <row r="165" spans="2:12" x14ac:dyDescent="0.25">
      <c r="B165" s="284"/>
      <c r="C165" s="290"/>
      <c r="D165" s="26" t="s">
        <v>47</v>
      </c>
      <c r="E165" s="27">
        <v>886032</v>
      </c>
      <c r="F165" s="27">
        <v>1785371</v>
      </c>
      <c r="G165" s="27">
        <v>1925435</v>
      </c>
      <c r="H165" s="27">
        <v>1977808</v>
      </c>
      <c r="I165" s="27">
        <v>1894928</v>
      </c>
      <c r="J165" s="82">
        <f t="shared" ref="J165" si="41">I165/H165-1</f>
        <v>-4.1904977631802454E-2</v>
      </c>
      <c r="K165" s="27">
        <f t="shared" ref="K165" si="42">I165-H165</f>
        <v>-82880</v>
      </c>
      <c r="L165" s="38">
        <f t="shared" si="40"/>
        <v>0.34153086619123285</v>
      </c>
    </row>
    <row r="166" spans="2:12" x14ac:dyDescent="0.25">
      <c r="B166" s="284"/>
      <c r="C166" s="290"/>
      <c r="D166" s="4" t="s">
        <v>48</v>
      </c>
      <c r="E166" s="29">
        <v>494807</v>
      </c>
      <c r="F166" s="29">
        <v>1265143</v>
      </c>
      <c r="G166" s="29">
        <v>1346478</v>
      </c>
      <c r="H166" s="29">
        <v>1414199</v>
      </c>
      <c r="I166" s="29">
        <v>1450547</v>
      </c>
      <c r="J166" s="83">
        <f>I166/H166-1</f>
        <v>2.5702181941862579E-2</v>
      </c>
      <c r="K166" s="29">
        <f>I166-H166</f>
        <v>36348</v>
      </c>
      <c r="L166" s="77">
        <f t="shared" si="40"/>
        <v>0.26143820417508962</v>
      </c>
    </row>
    <row r="167" spans="2:12" x14ac:dyDescent="0.25">
      <c r="B167" s="284"/>
      <c r="C167" s="290"/>
      <c r="D167" s="4" t="s">
        <v>49</v>
      </c>
      <c r="E167" s="29">
        <v>20284</v>
      </c>
      <c r="F167" s="29">
        <v>38233</v>
      </c>
      <c r="G167" s="29">
        <v>51611</v>
      </c>
      <c r="H167" s="29">
        <v>45550</v>
      </c>
      <c r="I167" s="29">
        <v>45028</v>
      </c>
      <c r="J167" s="83">
        <f t="shared" ref="J167:J174" si="43">I167/H167-1</f>
        <v>-1.1459934138309591E-2</v>
      </c>
      <c r="K167" s="29">
        <f t="shared" ref="K167:K174" si="44">I167-H167</f>
        <v>-522</v>
      </c>
      <c r="L167" s="77">
        <f t="shared" si="40"/>
        <v>8.1155863667953781E-3</v>
      </c>
    </row>
    <row r="168" spans="2:12" x14ac:dyDescent="0.25">
      <c r="B168" s="284"/>
      <c r="C168" s="290"/>
      <c r="D168" s="4" t="s">
        <v>50</v>
      </c>
      <c r="E168" s="29">
        <v>71245</v>
      </c>
      <c r="F168" s="29">
        <v>164270</v>
      </c>
      <c r="G168" s="29">
        <v>177179</v>
      </c>
      <c r="H168" s="29">
        <v>234780</v>
      </c>
      <c r="I168" s="29">
        <v>191694</v>
      </c>
      <c r="J168" s="83">
        <f t="shared" si="43"/>
        <v>-0.18351648351648353</v>
      </c>
      <c r="K168" s="29">
        <f t="shared" si="44"/>
        <v>-43086</v>
      </c>
      <c r="L168" s="77">
        <f t="shared" si="40"/>
        <v>3.4549818179720908E-2</v>
      </c>
    </row>
    <row r="169" spans="2:12" x14ac:dyDescent="0.25">
      <c r="B169" s="284"/>
      <c r="C169" s="290"/>
      <c r="D169" s="4" t="s">
        <v>51</v>
      </c>
      <c r="E169" s="29">
        <v>355287</v>
      </c>
      <c r="F169" s="29">
        <v>720575</v>
      </c>
      <c r="G169" s="29">
        <v>813714</v>
      </c>
      <c r="H169" s="29">
        <v>930653</v>
      </c>
      <c r="I169" s="29">
        <v>952676</v>
      </c>
      <c r="J169" s="83">
        <f t="shared" si="43"/>
        <v>2.3664029450289226E-2</v>
      </c>
      <c r="K169" s="29">
        <f t="shared" si="44"/>
        <v>22023</v>
      </c>
      <c r="L169" s="77">
        <f t="shared" si="40"/>
        <v>0.17170481383968095</v>
      </c>
    </row>
    <row r="170" spans="2:12" x14ac:dyDescent="0.25">
      <c r="B170" s="284"/>
      <c r="C170" s="290"/>
      <c r="D170" s="4" t="s">
        <v>52</v>
      </c>
      <c r="E170" s="29">
        <v>33497</v>
      </c>
      <c r="F170" s="29">
        <v>51855</v>
      </c>
      <c r="G170" s="29">
        <v>58492</v>
      </c>
      <c r="H170" s="29">
        <v>57716</v>
      </c>
      <c r="I170" s="29">
        <v>56950</v>
      </c>
      <c r="J170" s="83">
        <f t="shared" si="43"/>
        <v>-1.3271883013375785E-2</v>
      </c>
      <c r="K170" s="29">
        <f t="shared" si="44"/>
        <v>-766</v>
      </c>
      <c r="L170" s="77">
        <f t="shared" si="40"/>
        <v>1.0264338713444896E-2</v>
      </c>
    </row>
    <row r="171" spans="2:12" x14ac:dyDescent="0.25">
      <c r="B171" s="284"/>
      <c r="C171" s="290"/>
      <c r="D171" s="4" t="s">
        <v>53</v>
      </c>
      <c r="E171" s="29">
        <v>108554</v>
      </c>
      <c r="F171" s="29">
        <v>202302</v>
      </c>
      <c r="G171" s="29">
        <v>255835</v>
      </c>
      <c r="H171" s="29">
        <v>243005</v>
      </c>
      <c r="I171" s="29">
        <v>254126</v>
      </c>
      <c r="J171" s="83">
        <f t="shared" si="43"/>
        <v>4.5764490442583572E-2</v>
      </c>
      <c r="K171" s="29">
        <f t="shared" si="44"/>
        <v>11121</v>
      </c>
      <c r="L171" s="77">
        <f t="shared" si="40"/>
        <v>4.5802200876082486E-2</v>
      </c>
    </row>
    <row r="172" spans="2:12" x14ac:dyDescent="0.25">
      <c r="B172" s="284"/>
      <c r="C172" s="290"/>
      <c r="D172" s="4" t="s">
        <v>54</v>
      </c>
      <c r="E172" s="29">
        <v>164413</v>
      </c>
      <c r="F172" s="29">
        <v>230406</v>
      </c>
      <c r="G172" s="29">
        <v>241537</v>
      </c>
      <c r="H172" s="29">
        <v>252084</v>
      </c>
      <c r="I172" s="29">
        <v>284121</v>
      </c>
      <c r="J172" s="83">
        <f t="shared" si="43"/>
        <v>0.12708858951777979</v>
      </c>
      <c r="K172" s="29">
        <f t="shared" si="44"/>
        <v>32037</v>
      </c>
      <c r="L172" s="77">
        <f t="shared" si="40"/>
        <v>5.1208326244120757E-2</v>
      </c>
    </row>
    <row r="173" spans="2:12" x14ac:dyDescent="0.25">
      <c r="B173" s="284"/>
      <c r="C173" s="290"/>
      <c r="D173" s="4" t="s">
        <v>55</v>
      </c>
      <c r="E173" s="29">
        <v>141329</v>
      </c>
      <c r="F173" s="29">
        <v>261644</v>
      </c>
      <c r="G173" s="29">
        <v>285810</v>
      </c>
      <c r="H173" s="29">
        <v>293795</v>
      </c>
      <c r="I173" s="29">
        <v>293036</v>
      </c>
      <c r="J173" s="31">
        <f t="shared" si="43"/>
        <v>-2.5834340271277956E-3</v>
      </c>
      <c r="K173" s="29">
        <f t="shared" si="44"/>
        <v>-759</v>
      </c>
      <c r="L173" s="42">
        <f t="shared" si="40"/>
        <v>5.281511429733167E-2</v>
      </c>
    </row>
    <row r="174" spans="2:12" x14ac:dyDescent="0.25">
      <c r="B174" s="284"/>
      <c r="C174" s="291"/>
      <c r="D174" s="32" t="s">
        <v>56</v>
      </c>
      <c r="E174" s="73">
        <v>72233</v>
      </c>
      <c r="F174" s="73">
        <v>113045</v>
      </c>
      <c r="G174" s="73">
        <v>125576</v>
      </c>
      <c r="H174" s="73">
        <v>130392</v>
      </c>
      <c r="I174" s="73">
        <v>125230</v>
      </c>
      <c r="J174" s="74">
        <f t="shared" si="43"/>
        <v>-3.9588318301736258E-2</v>
      </c>
      <c r="K174" s="73">
        <f t="shared" si="44"/>
        <v>-5162</v>
      </c>
      <c r="L174" s="57">
        <f t="shared" si="40"/>
        <v>2.2570731116500514E-2</v>
      </c>
    </row>
    <row r="175" spans="2:12" x14ac:dyDescent="0.25">
      <c r="B175" s="284"/>
      <c r="C175" s="286" t="s">
        <v>22</v>
      </c>
      <c r="D175" s="65" t="s">
        <v>46</v>
      </c>
      <c r="E175" s="66">
        <v>13903380</v>
      </c>
      <c r="F175" s="66">
        <v>31405937</v>
      </c>
      <c r="G175" s="66">
        <v>34492002</v>
      </c>
      <c r="H175" s="66">
        <v>36085760</v>
      </c>
      <c r="I175" s="66">
        <v>34978337</v>
      </c>
      <c r="J175" s="67">
        <f t="shared" si="38"/>
        <v>-3.0688642833073265E-2</v>
      </c>
      <c r="K175" s="66">
        <f t="shared" si="39"/>
        <v>-1107423</v>
      </c>
      <c r="L175" s="67">
        <f>I175/$I$175</f>
        <v>1</v>
      </c>
    </row>
    <row r="176" spans="2:12" x14ac:dyDescent="0.25">
      <c r="B176" s="284"/>
      <c r="C176" s="287"/>
      <c r="D176" s="15" t="s">
        <v>47</v>
      </c>
      <c r="E176" s="16">
        <v>5763674</v>
      </c>
      <c r="F176" s="16">
        <v>12632387</v>
      </c>
      <c r="G176" s="16">
        <v>13593290</v>
      </c>
      <c r="H176" s="16">
        <v>13840017</v>
      </c>
      <c r="I176" s="16">
        <v>13113733</v>
      </c>
      <c r="J176" s="18">
        <f t="shared" si="38"/>
        <v>-5.2477103171188255E-2</v>
      </c>
      <c r="K176" s="16">
        <f t="shared" si="39"/>
        <v>-726284</v>
      </c>
      <c r="L176" s="18">
        <f t="shared" ref="L176:L185" si="45">I176/$I$175</f>
        <v>0.37491013366358727</v>
      </c>
    </row>
    <row r="177" spans="2:12" x14ac:dyDescent="0.25">
      <c r="B177" s="284"/>
      <c r="C177" s="287"/>
      <c r="D177" s="19" t="s">
        <v>48</v>
      </c>
      <c r="E177" s="20">
        <v>3367162</v>
      </c>
      <c r="F177" s="20">
        <v>8865243</v>
      </c>
      <c r="G177" s="20">
        <v>9740327</v>
      </c>
      <c r="H177" s="20">
        <v>10013119</v>
      </c>
      <c r="I177" s="20">
        <v>9994134</v>
      </c>
      <c r="J177" s="70">
        <f t="shared" si="38"/>
        <v>-1.8960126210424422E-3</v>
      </c>
      <c r="K177" s="20">
        <f t="shared" si="39"/>
        <v>-18985</v>
      </c>
      <c r="L177" s="70">
        <f t="shared" si="45"/>
        <v>0.28572353225369174</v>
      </c>
    </row>
    <row r="178" spans="2:12" x14ac:dyDescent="0.25">
      <c r="B178" s="284"/>
      <c r="C178" s="287"/>
      <c r="D178" s="19" t="s">
        <v>49</v>
      </c>
      <c r="E178" s="20">
        <v>98762</v>
      </c>
      <c r="F178" s="20">
        <v>168339</v>
      </c>
      <c r="G178" s="20">
        <v>182130</v>
      </c>
      <c r="H178" s="20">
        <v>192892</v>
      </c>
      <c r="I178" s="20">
        <v>197469</v>
      </c>
      <c r="J178" s="70">
        <f t="shared" si="38"/>
        <v>2.3728303921365379E-2</v>
      </c>
      <c r="K178" s="20">
        <f t="shared" si="39"/>
        <v>4577</v>
      </c>
      <c r="L178" s="70">
        <f t="shared" si="45"/>
        <v>5.6454656492102529E-3</v>
      </c>
    </row>
    <row r="179" spans="2:12" x14ac:dyDescent="0.25">
      <c r="B179" s="284"/>
      <c r="C179" s="287"/>
      <c r="D179" s="19" t="s">
        <v>50</v>
      </c>
      <c r="E179" s="20">
        <v>419370</v>
      </c>
      <c r="F179" s="20">
        <v>1014697</v>
      </c>
      <c r="G179" s="20">
        <v>988170</v>
      </c>
      <c r="H179" s="20">
        <v>1361415</v>
      </c>
      <c r="I179" s="20">
        <v>1103359</v>
      </c>
      <c r="J179" s="70">
        <f t="shared" si="38"/>
        <v>-0.1895498433615026</v>
      </c>
      <c r="K179" s="20">
        <f t="shared" si="39"/>
        <v>-258056</v>
      </c>
      <c r="L179" s="70">
        <f t="shared" si="45"/>
        <v>3.1544066831993754E-2</v>
      </c>
    </row>
    <row r="180" spans="2:12" x14ac:dyDescent="0.25">
      <c r="B180" s="284"/>
      <c r="C180" s="287"/>
      <c r="D180" s="19" t="s">
        <v>51</v>
      </c>
      <c r="E180" s="20">
        <v>1967362</v>
      </c>
      <c r="F180" s="20">
        <v>4352393</v>
      </c>
      <c r="G180" s="20">
        <v>5136286</v>
      </c>
      <c r="H180" s="20">
        <v>5762502</v>
      </c>
      <c r="I180" s="20">
        <v>5666416</v>
      </c>
      <c r="J180" s="70">
        <f t="shared" si="38"/>
        <v>-1.6674354299573313E-2</v>
      </c>
      <c r="K180" s="20">
        <f t="shared" si="39"/>
        <v>-96086</v>
      </c>
      <c r="L180" s="70">
        <f t="shared" si="45"/>
        <v>0.16199786742291378</v>
      </c>
    </row>
    <row r="181" spans="2:12" x14ac:dyDescent="0.25">
      <c r="B181" s="284"/>
      <c r="C181" s="287"/>
      <c r="D181" s="19" t="s">
        <v>52</v>
      </c>
      <c r="E181" s="20">
        <v>83402</v>
      </c>
      <c r="F181" s="20">
        <v>137757</v>
      </c>
      <c r="G181" s="20">
        <v>148334</v>
      </c>
      <c r="H181" s="20">
        <v>152300</v>
      </c>
      <c r="I181" s="20">
        <v>152519</v>
      </c>
      <c r="J181" s="70">
        <f t="shared" si="38"/>
        <v>1.4379514116875658E-3</v>
      </c>
      <c r="K181" s="20">
        <f t="shared" si="39"/>
        <v>219</v>
      </c>
      <c r="L181" s="70">
        <f t="shared" si="45"/>
        <v>4.3603845431530947E-3</v>
      </c>
    </row>
    <row r="182" spans="2:12" x14ac:dyDescent="0.25">
      <c r="B182" s="284"/>
      <c r="C182" s="287"/>
      <c r="D182" s="19" t="s">
        <v>53</v>
      </c>
      <c r="E182" s="20">
        <v>749212</v>
      </c>
      <c r="F182" s="20">
        <v>1316064</v>
      </c>
      <c r="G182" s="20">
        <v>1447168</v>
      </c>
      <c r="H182" s="20">
        <v>1453294</v>
      </c>
      <c r="I182" s="20">
        <v>1411233</v>
      </c>
      <c r="J182" s="70">
        <f t="shared" si="38"/>
        <v>-2.8941838334156755E-2</v>
      </c>
      <c r="K182" s="20">
        <f t="shared" si="39"/>
        <v>-42061</v>
      </c>
      <c r="L182" s="70">
        <f t="shared" si="45"/>
        <v>4.0345914672844513E-2</v>
      </c>
    </row>
    <row r="183" spans="2:12" x14ac:dyDescent="0.25">
      <c r="B183" s="284"/>
      <c r="C183" s="287"/>
      <c r="D183" s="19" t="s">
        <v>54</v>
      </c>
      <c r="E183" s="20">
        <v>359169</v>
      </c>
      <c r="F183" s="20">
        <v>543499</v>
      </c>
      <c r="G183" s="20">
        <v>577841</v>
      </c>
      <c r="H183" s="20">
        <v>583363</v>
      </c>
      <c r="I183" s="20">
        <v>615470</v>
      </c>
      <c r="J183" s="70">
        <f t="shared" si="38"/>
        <v>5.5037772364719739E-2</v>
      </c>
      <c r="K183" s="20">
        <f t="shared" si="39"/>
        <v>32107</v>
      </c>
      <c r="L183" s="70">
        <f t="shared" si="45"/>
        <v>1.7595747905339239E-2</v>
      </c>
    </row>
    <row r="184" spans="2:12" x14ac:dyDescent="0.25">
      <c r="B184" s="284"/>
      <c r="C184" s="287"/>
      <c r="D184" s="19" t="s">
        <v>55</v>
      </c>
      <c r="E184" s="20">
        <v>774989</v>
      </c>
      <c r="F184" s="20">
        <v>1753117</v>
      </c>
      <c r="G184" s="20">
        <v>1897228</v>
      </c>
      <c r="H184" s="20">
        <v>1991159</v>
      </c>
      <c r="I184" s="20">
        <v>2013195</v>
      </c>
      <c r="J184" s="22">
        <f t="shared" si="38"/>
        <v>1.1066921325720402E-2</v>
      </c>
      <c r="K184" s="20">
        <f t="shared" si="39"/>
        <v>22036</v>
      </c>
      <c r="L184" s="22">
        <f t="shared" si="45"/>
        <v>5.7555480696523678E-2</v>
      </c>
    </row>
    <row r="185" spans="2:12" x14ac:dyDescent="0.25">
      <c r="B185" s="284"/>
      <c r="C185" s="288"/>
      <c r="D185" s="23" t="s">
        <v>56</v>
      </c>
      <c r="E185" s="71">
        <v>320278</v>
      </c>
      <c r="F185" s="71">
        <v>622441</v>
      </c>
      <c r="G185" s="71">
        <v>781228</v>
      </c>
      <c r="H185" s="71">
        <v>735699</v>
      </c>
      <c r="I185" s="71">
        <v>710809</v>
      </c>
      <c r="J185" s="48">
        <f t="shared" si="38"/>
        <v>-3.3831770873686162E-2</v>
      </c>
      <c r="K185" s="71">
        <f t="shared" si="39"/>
        <v>-24890</v>
      </c>
      <c r="L185" s="48">
        <f t="shared" si="45"/>
        <v>2.0321406360742651E-2</v>
      </c>
    </row>
    <row r="186" spans="2:12" x14ac:dyDescent="0.25">
      <c r="B186" s="284"/>
      <c r="C186" s="289" t="s">
        <v>23</v>
      </c>
      <c r="D186" s="65" t="s">
        <v>46</v>
      </c>
      <c r="E186" s="75">
        <f t="shared" ref="E186:I187" si="46">E175/E153</f>
        <v>5.9532216226677823</v>
      </c>
      <c r="F186" s="75">
        <f t="shared" si="46"/>
        <v>6.6010991064347921</v>
      </c>
      <c r="G186" s="75">
        <f t="shared" si="46"/>
        <v>6.6469938118518526</v>
      </c>
      <c r="H186" s="75">
        <f t="shared" si="46"/>
        <v>6.5810380732891716</v>
      </c>
      <c r="I186" s="75">
        <f t="shared" si="46"/>
        <v>6.4165506080420185</v>
      </c>
      <c r="J186" s="67">
        <f t="shared" si="38"/>
        <v>-2.4994151897520189E-2</v>
      </c>
      <c r="K186" s="75">
        <f t="shared" ref="K186:K187" si="47">(I186-H186)</f>
        <v>-0.16448746524715308</v>
      </c>
      <c r="L186" s="67"/>
    </row>
    <row r="187" spans="2:12" x14ac:dyDescent="0.25">
      <c r="B187" s="284"/>
      <c r="C187" s="290"/>
      <c r="D187" s="26" t="s">
        <v>47</v>
      </c>
      <c r="E187" s="37">
        <f t="shared" si="46"/>
        <v>6.5418610854156141</v>
      </c>
      <c r="F187" s="37">
        <f t="shared" si="46"/>
        <v>7.1895473603752658</v>
      </c>
      <c r="G187" s="37">
        <f t="shared" si="46"/>
        <v>7.1969730260897284</v>
      </c>
      <c r="H187" s="37">
        <f t="shared" si="46"/>
        <v>7.1379699823974985</v>
      </c>
      <c r="I187" s="37">
        <f t="shared" si="46"/>
        <v>7.0570831384801833</v>
      </c>
      <c r="J187" s="82">
        <f t="shared" si="38"/>
        <v>-1.1331911470177869E-2</v>
      </c>
      <c r="K187" s="37">
        <f t="shared" si="47"/>
        <v>-8.0886843917315154E-2</v>
      </c>
      <c r="L187" s="38"/>
    </row>
    <row r="188" spans="2:12" x14ac:dyDescent="0.25">
      <c r="B188" s="284"/>
      <c r="C188" s="290"/>
      <c r="D188" s="4" t="s">
        <v>48</v>
      </c>
      <c r="E188" s="41">
        <f>E177/E155</f>
        <v>6.8402382490482632</v>
      </c>
      <c r="F188" s="41">
        <f>F177/F155</f>
        <v>7.1290659289847085</v>
      </c>
      <c r="G188" s="41">
        <f>G177/G155</f>
        <v>7.3769342975031353</v>
      </c>
      <c r="H188" s="41">
        <f>H177/H155</f>
        <v>7.2151283150609418</v>
      </c>
      <c r="I188" s="41">
        <f>I177/I155</f>
        <v>7.0304533997772856</v>
      </c>
      <c r="J188" s="83">
        <f t="shared" si="38"/>
        <v>-2.5595513651249124E-2</v>
      </c>
      <c r="K188" s="41">
        <f>(I188-H188)</f>
        <v>-0.1846749152836562</v>
      </c>
      <c r="L188" s="77"/>
    </row>
    <row r="189" spans="2:12" x14ac:dyDescent="0.25">
      <c r="B189" s="284"/>
      <c r="C189" s="290"/>
      <c r="D189" s="4" t="s">
        <v>49</v>
      </c>
      <c r="E189" s="41">
        <f t="shared" ref="E189:I196" si="48">E178/E156</f>
        <v>4.8986657407866669</v>
      </c>
      <c r="F189" s="41">
        <f t="shared" si="48"/>
        <v>4.4591931339567168</v>
      </c>
      <c r="G189" s="41">
        <f t="shared" si="48"/>
        <v>3.556462478764328</v>
      </c>
      <c r="H189" s="41">
        <f t="shared" si="48"/>
        <v>4.2816363676721938</v>
      </c>
      <c r="I189" s="41">
        <f t="shared" si="48"/>
        <v>4.4439968493304827</v>
      </c>
      <c r="J189" s="83">
        <f t="shared" si="38"/>
        <v>3.7920193990355067E-2</v>
      </c>
      <c r="K189" s="41">
        <f t="shared" ref="K189:K196" si="49">(I189-H189)</f>
        <v>0.16236048165828887</v>
      </c>
      <c r="L189" s="77"/>
    </row>
    <row r="190" spans="2:12" x14ac:dyDescent="0.25">
      <c r="B190" s="284"/>
      <c r="C190" s="290"/>
      <c r="D190" s="4" t="s">
        <v>50</v>
      </c>
      <c r="E190" s="41">
        <f t="shared" si="48"/>
        <v>5.9650944469731453</v>
      </c>
      <c r="F190" s="41">
        <f t="shared" si="48"/>
        <v>6.2993357337968714</v>
      </c>
      <c r="G190" s="41">
        <f t="shared" si="48"/>
        <v>5.690650050677232</v>
      </c>
      <c r="H190" s="41">
        <f t="shared" si="48"/>
        <v>5.8718126768338967</v>
      </c>
      <c r="I190" s="41">
        <f t="shared" si="48"/>
        <v>5.8479032839364837</v>
      </c>
      <c r="J190" s="83">
        <f t="shared" si="38"/>
        <v>-4.0718929934094872E-3</v>
      </c>
      <c r="K190" s="41">
        <f t="shared" si="49"/>
        <v>-2.3909392897413007E-2</v>
      </c>
      <c r="L190" s="77"/>
    </row>
    <row r="191" spans="2:12" x14ac:dyDescent="0.25">
      <c r="B191" s="284"/>
      <c r="C191" s="290"/>
      <c r="D191" s="4" t="s">
        <v>51</v>
      </c>
      <c r="E191" s="41">
        <f t="shared" si="48"/>
        <v>5.5543189800228117</v>
      </c>
      <c r="F191" s="41">
        <f t="shared" si="48"/>
        <v>6.1281889542046537</v>
      </c>
      <c r="G191" s="41">
        <f t="shared" si="48"/>
        <v>6.4182475011340019</v>
      </c>
      <c r="H191" s="41">
        <f t="shared" si="48"/>
        <v>6.291229510523408</v>
      </c>
      <c r="I191" s="41">
        <f t="shared" si="48"/>
        <v>6.0448476417650596</v>
      </c>
      <c r="J191" s="83">
        <f t="shared" si="38"/>
        <v>-3.9162753217987456E-2</v>
      </c>
      <c r="K191" s="41">
        <f t="shared" si="49"/>
        <v>-0.24638186875834833</v>
      </c>
      <c r="L191" s="77"/>
    </row>
    <row r="192" spans="2:12" x14ac:dyDescent="0.25">
      <c r="B192" s="284"/>
      <c r="C192" s="290"/>
      <c r="D192" s="4" t="s">
        <v>52</v>
      </c>
      <c r="E192" s="41">
        <f t="shared" si="48"/>
        <v>2.4937806482478173</v>
      </c>
      <c r="F192" s="41">
        <f t="shared" si="48"/>
        <v>2.6756725259784404</v>
      </c>
      <c r="G192" s="41">
        <f t="shared" si="48"/>
        <v>2.5505786061867015</v>
      </c>
      <c r="H192" s="41">
        <f t="shared" si="48"/>
        <v>2.6538649194953647</v>
      </c>
      <c r="I192" s="41">
        <f t="shared" si="48"/>
        <v>2.6953963064416366</v>
      </c>
      <c r="J192" s="83">
        <f t="shared" si="38"/>
        <v>1.5649397466005688E-2</v>
      </c>
      <c r="K192" s="41">
        <f t="shared" si="49"/>
        <v>4.1531386946271898E-2</v>
      </c>
      <c r="L192" s="77"/>
    </row>
    <row r="193" spans="2:12" x14ac:dyDescent="0.25">
      <c r="B193" s="284"/>
      <c r="C193" s="290"/>
      <c r="D193" s="4" t="s">
        <v>53</v>
      </c>
      <c r="E193" s="41">
        <f t="shared" si="48"/>
        <v>6.9720730697289195</v>
      </c>
      <c r="F193" s="41">
        <f t="shared" si="48"/>
        <v>6.6176102336667117</v>
      </c>
      <c r="G193" s="41">
        <f t="shared" si="48"/>
        <v>5.729361648217651</v>
      </c>
      <c r="H193" s="41">
        <f t="shared" si="48"/>
        <v>6.0770157142498729</v>
      </c>
      <c r="I193" s="41">
        <f t="shared" si="48"/>
        <v>5.6298889367609748</v>
      </c>
      <c r="J193" s="83">
        <f t="shared" si="38"/>
        <v>-7.3576702531875871E-2</v>
      </c>
      <c r="K193" s="41">
        <f t="shared" si="49"/>
        <v>-0.44712677748889806</v>
      </c>
      <c r="L193" s="77"/>
    </row>
    <row r="194" spans="2:12" x14ac:dyDescent="0.25">
      <c r="B194" s="284"/>
      <c r="C194" s="290"/>
      <c r="D194" s="4" t="s">
        <v>54</v>
      </c>
      <c r="E194" s="41">
        <f t="shared" si="48"/>
        <v>2.1866149593931499</v>
      </c>
      <c r="F194" s="41">
        <f t="shared" si="48"/>
        <v>2.3720011696365835</v>
      </c>
      <c r="G194" s="41">
        <f t="shared" si="48"/>
        <v>2.4072295079235473</v>
      </c>
      <c r="H194" s="41">
        <f t="shared" si="48"/>
        <v>2.3296593146357729</v>
      </c>
      <c r="I194" s="41">
        <f t="shared" si="48"/>
        <v>2.1778762283219097</v>
      </c>
      <c r="J194" s="83">
        <f t="shared" si="38"/>
        <v>-6.5152481893084646E-2</v>
      </c>
      <c r="K194" s="41">
        <f t="shared" si="49"/>
        <v>-0.15178308631386317</v>
      </c>
      <c r="L194" s="77"/>
    </row>
    <row r="195" spans="2:12" x14ac:dyDescent="0.25">
      <c r="B195" s="284"/>
      <c r="C195" s="290"/>
      <c r="D195" s="4" t="s">
        <v>55</v>
      </c>
      <c r="E195" s="41">
        <f t="shared" si="48"/>
        <v>5.5219885141008653</v>
      </c>
      <c r="F195" s="41">
        <f t="shared" si="48"/>
        <v>6.81836284648623</v>
      </c>
      <c r="G195" s="41">
        <f t="shared" si="48"/>
        <v>6.757255964867916</v>
      </c>
      <c r="H195" s="41">
        <f t="shared" si="48"/>
        <v>6.9053546037801281</v>
      </c>
      <c r="I195" s="41">
        <f t="shared" si="48"/>
        <v>6.9984252461204735</v>
      </c>
      <c r="J195" s="31">
        <f t="shared" si="38"/>
        <v>1.3478039533175723E-2</v>
      </c>
      <c r="K195" s="41">
        <f t="shared" si="49"/>
        <v>9.3070642340345344E-2</v>
      </c>
      <c r="L195" s="42"/>
    </row>
    <row r="196" spans="2:12" x14ac:dyDescent="0.25">
      <c r="B196" s="284"/>
      <c r="C196" s="291"/>
      <c r="D196" s="32" t="s">
        <v>56</v>
      </c>
      <c r="E196" s="79">
        <f t="shared" si="48"/>
        <v>4.4508400617018022</v>
      </c>
      <c r="F196" s="79">
        <f t="shared" si="48"/>
        <v>5.585586474869209</v>
      </c>
      <c r="G196" s="79">
        <f t="shared" si="48"/>
        <v>6.3356852059104991</v>
      </c>
      <c r="H196" s="79">
        <f t="shared" si="48"/>
        <v>5.7291629352168396</v>
      </c>
      <c r="I196" s="79">
        <f t="shared" si="48"/>
        <v>5.7575431121767089</v>
      </c>
      <c r="J196" s="74">
        <f t="shared" si="38"/>
        <v>4.9536341138805007E-3</v>
      </c>
      <c r="K196" s="79">
        <f t="shared" si="49"/>
        <v>2.8380176959869274E-2</v>
      </c>
      <c r="L196" s="57"/>
    </row>
    <row r="197" spans="2:12" x14ac:dyDescent="0.25">
      <c r="B197" s="284"/>
      <c r="C197" s="292" t="s">
        <v>37</v>
      </c>
      <c r="D197" s="65" t="s">
        <v>46</v>
      </c>
      <c r="E197" s="67">
        <v>0.46071549284573426</v>
      </c>
      <c r="F197" s="67">
        <v>0.66257277613676679</v>
      </c>
      <c r="G197" s="67">
        <v>0.75278316087982655</v>
      </c>
      <c r="H197" s="67">
        <v>0.72939896587816766</v>
      </c>
      <c r="I197" s="67">
        <v>0.76271640953782749</v>
      </c>
      <c r="J197" s="67">
        <f t="shared" si="38"/>
        <v>4.567794200194264E-2</v>
      </c>
      <c r="K197" s="75">
        <f>(I197-H197)*100</f>
        <v>3.3317443659659829</v>
      </c>
      <c r="L197" s="67"/>
    </row>
    <row r="198" spans="2:12" x14ac:dyDescent="0.25">
      <c r="B198" s="284"/>
      <c r="C198" s="293"/>
      <c r="D198" s="15" t="s">
        <v>47</v>
      </c>
      <c r="E198" s="18">
        <v>0.53007392392769836</v>
      </c>
      <c r="F198" s="18">
        <v>0.75084425784599895</v>
      </c>
      <c r="G198" s="18">
        <v>0.81137456860272439</v>
      </c>
      <c r="H198" s="18">
        <v>0.76364878445084972</v>
      </c>
      <c r="I198" s="18">
        <v>0.79492109395832511</v>
      </c>
      <c r="J198" s="18">
        <f t="shared" si="38"/>
        <v>4.0951167793665366E-2</v>
      </c>
      <c r="K198" s="45">
        <f t="shared" ref="K198" si="50">(I198-H198)*100</f>
        <v>3.1272309507475393</v>
      </c>
      <c r="L198" s="18"/>
    </row>
    <row r="199" spans="2:12" x14ac:dyDescent="0.25">
      <c r="B199" s="284"/>
      <c r="C199" s="293"/>
      <c r="D199" s="19" t="s">
        <v>48</v>
      </c>
      <c r="E199" s="70">
        <v>0.38237984856351559</v>
      </c>
      <c r="F199" s="70">
        <v>0.58966570828384113</v>
      </c>
      <c r="G199" s="70">
        <v>0.7120968992437916</v>
      </c>
      <c r="H199" s="70">
        <v>0.69114669074227841</v>
      </c>
      <c r="I199" s="70">
        <v>0.73569515745498237</v>
      </c>
      <c r="J199" s="70">
        <f t="shared" si="38"/>
        <v>6.4455877904674219E-2</v>
      </c>
      <c r="K199" s="46">
        <f>(I199-H199)*100</f>
        <v>4.4548466712703956</v>
      </c>
      <c r="L199" s="70"/>
    </row>
    <row r="200" spans="2:12" x14ac:dyDescent="0.25">
      <c r="B200" s="284"/>
      <c r="C200" s="293"/>
      <c r="D200" s="19" t="s">
        <v>49</v>
      </c>
      <c r="E200" s="70">
        <v>0.40408330264719122</v>
      </c>
      <c r="F200" s="70">
        <v>0.53629592343863497</v>
      </c>
      <c r="G200" s="70">
        <v>0.55483289211938058</v>
      </c>
      <c r="H200" s="70">
        <v>0.53989028213166146</v>
      </c>
      <c r="I200" s="70">
        <v>0.59322446331044176</v>
      </c>
      <c r="J200" s="70">
        <f t="shared" si="38"/>
        <v>9.8787073862859121E-2</v>
      </c>
      <c r="K200" s="46">
        <f t="shared" ref="K200:K207" si="51">(I200-H200)*100</f>
        <v>5.3334181178780309</v>
      </c>
      <c r="L200" s="70"/>
    </row>
    <row r="201" spans="2:12" x14ac:dyDescent="0.25">
      <c r="B201" s="284"/>
      <c r="C201" s="293"/>
      <c r="D201" s="19" t="s">
        <v>50</v>
      </c>
      <c r="E201" s="70">
        <v>0.28621210694206145</v>
      </c>
      <c r="F201" s="70">
        <v>0.59390060461332261</v>
      </c>
      <c r="G201" s="70">
        <v>0.61609450810074784</v>
      </c>
      <c r="H201" s="70">
        <v>0.78254834111236293</v>
      </c>
      <c r="I201" s="70">
        <v>0.65487464685073948</v>
      </c>
      <c r="J201" s="70">
        <f t="shared" si="38"/>
        <v>-0.16315119150356916</v>
      </c>
      <c r="K201" s="46">
        <f t="shared" si="51"/>
        <v>-12.767369426162345</v>
      </c>
      <c r="L201" s="70"/>
    </row>
    <row r="202" spans="2:12" x14ac:dyDescent="0.25">
      <c r="B202" s="284"/>
      <c r="C202" s="293"/>
      <c r="D202" s="19" t="s">
        <v>51</v>
      </c>
      <c r="E202" s="70">
        <v>0.48615455783025679</v>
      </c>
      <c r="F202" s="70">
        <v>0.62422273216206525</v>
      </c>
      <c r="G202" s="70">
        <v>0.73256253105658276</v>
      </c>
      <c r="H202" s="70">
        <v>0.73648588804063642</v>
      </c>
      <c r="I202" s="70">
        <v>0.77515282700025978</v>
      </c>
      <c r="J202" s="70">
        <f t="shared" si="38"/>
        <v>5.2501941432297805E-2</v>
      </c>
      <c r="K202" s="46">
        <f t="shared" si="51"/>
        <v>3.8666938959623365</v>
      </c>
      <c r="L202" s="70"/>
    </row>
    <row r="203" spans="2:12" x14ac:dyDescent="0.25">
      <c r="B203" s="284"/>
      <c r="C203" s="293"/>
      <c r="D203" s="19" t="s">
        <v>52</v>
      </c>
      <c r="E203" s="70">
        <v>0.42945341263098274</v>
      </c>
      <c r="F203" s="70">
        <v>0.57741590694750078</v>
      </c>
      <c r="G203" s="70">
        <v>0.61259601883208059</v>
      </c>
      <c r="H203" s="70">
        <v>0.57002556319498765</v>
      </c>
      <c r="I203" s="70">
        <v>0.62089193755215866</v>
      </c>
      <c r="J203" s="70">
        <f t="shared" si="38"/>
        <v>8.9235251261479354E-2</v>
      </c>
      <c r="K203" s="46">
        <f t="shared" si="51"/>
        <v>5.0866374357171011</v>
      </c>
      <c r="L203" s="70"/>
    </row>
    <row r="204" spans="2:12" x14ac:dyDescent="0.25">
      <c r="B204" s="284"/>
      <c r="C204" s="293"/>
      <c r="D204" s="19" t="s">
        <v>53</v>
      </c>
      <c r="E204" s="70">
        <v>0.70336128458075009</v>
      </c>
      <c r="F204" s="70">
        <v>0.77576111963529215</v>
      </c>
      <c r="G204" s="70">
        <v>0.82779844332469787</v>
      </c>
      <c r="H204" s="70">
        <v>0.77423661488907958</v>
      </c>
      <c r="I204" s="70">
        <v>0.81840355885878524</v>
      </c>
      <c r="J204" s="70">
        <f t="shared" si="38"/>
        <v>5.7045795975475988E-2</v>
      </c>
      <c r="K204" s="46">
        <f t="shared" si="51"/>
        <v>4.4166943969705663</v>
      </c>
      <c r="L204" s="70"/>
    </row>
    <row r="205" spans="2:12" x14ac:dyDescent="0.25">
      <c r="B205" s="284"/>
      <c r="C205" s="293"/>
      <c r="D205" s="19" t="s">
        <v>54</v>
      </c>
      <c r="E205" s="70">
        <v>0.43287194104141685</v>
      </c>
      <c r="F205" s="70">
        <v>0.55540181632567553</v>
      </c>
      <c r="G205" s="70">
        <v>0.57078552018499329</v>
      </c>
      <c r="H205" s="70">
        <v>0.54033403912807498</v>
      </c>
      <c r="I205" s="70">
        <v>0.63035262548776605</v>
      </c>
      <c r="J205" s="70">
        <f t="shared" si="38"/>
        <v>0.16659802981309868</v>
      </c>
      <c r="K205" s="46">
        <f t="shared" si="51"/>
        <v>9.0018586359691071</v>
      </c>
      <c r="L205" s="70"/>
    </row>
    <row r="206" spans="2:12" x14ac:dyDescent="0.25">
      <c r="B206" s="284"/>
      <c r="C206" s="293"/>
      <c r="D206" s="19" t="s">
        <v>55</v>
      </c>
      <c r="E206" s="70">
        <v>0.48201408869433904</v>
      </c>
      <c r="F206" s="70">
        <v>0.71738538865739221</v>
      </c>
      <c r="G206" s="70">
        <v>0.81783519993171871</v>
      </c>
      <c r="H206" s="70">
        <v>0.796368991363826</v>
      </c>
      <c r="I206" s="70">
        <v>0.84894608892196821</v>
      </c>
      <c r="J206" s="70">
        <f t="shared" si="38"/>
        <v>6.6021025590287108E-2</v>
      </c>
      <c r="K206" s="46">
        <f t="shared" si="51"/>
        <v>5.2577097558142221</v>
      </c>
      <c r="L206" s="22"/>
    </row>
    <row r="207" spans="2:12" x14ac:dyDescent="0.25">
      <c r="B207" s="284"/>
      <c r="C207" s="294"/>
      <c r="D207" s="23" t="s">
        <v>56</v>
      </c>
      <c r="E207" s="70">
        <v>0.30640431884692987</v>
      </c>
      <c r="F207" s="70">
        <v>0.52346567968264468</v>
      </c>
      <c r="G207" s="70">
        <v>0.69664796996638179</v>
      </c>
      <c r="H207" s="70">
        <v>0.60474011018006602</v>
      </c>
      <c r="I207" s="70">
        <v>0.6273074747310724</v>
      </c>
      <c r="J207" s="70">
        <f t="shared" si="38"/>
        <v>3.7317459469137448E-2</v>
      </c>
      <c r="K207" s="46">
        <f t="shared" si="51"/>
        <v>2.2567364551006386</v>
      </c>
      <c r="L207" s="48"/>
    </row>
    <row r="208" spans="2:12" x14ac:dyDescent="0.25">
      <c r="B208" s="284"/>
      <c r="C208" s="295" t="s">
        <v>60</v>
      </c>
      <c r="D208" s="65" t="s">
        <v>46</v>
      </c>
      <c r="E208" s="66">
        <v>82456</v>
      </c>
      <c r="F208" s="66">
        <v>129725</v>
      </c>
      <c r="G208" s="66">
        <v>125536.00000000001</v>
      </c>
      <c r="H208" s="66">
        <v>135046</v>
      </c>
      <c r="I208" s="66">
        <v>125647</v>
      </c>
      <c r="J208" s="67">
        <f t="shared" si="38"/>
        <v>-6.9598507175332891E-2</v>
      </c>
      <c r="K208" s="66">
        <f t="shared" ref="K208:K209" si="52">I208-H208</f>
        <v>-9399</v>
      </c>
      <c r="L208" s="67">
        <f t="shared" ref="L208:L218" si="53">I208/$I$208</f>
        <v>1</v>
      </c>
    </row>
    <row r="209" spans="2:12" x14ac:dyDescent="0.25">
      <c r="B209" s="284"/>
      <c r="C209" s="290"/>
      <c r="D209" s="26" t="s">
        <v>47</v>
      </c>
      <c r="E209" s="27">
        <v>29697.000000000004</v>
      </c>
      <c r="F209" s="27">
        <v>46054</v>
      </c>
      <c r="G209" s="27">
        <v>45902</v>
      </c>
      <c r="H209" s="27">
        <v>49468</v>
      </c>
      <c r="I209" s="27">
        <v>45190.999999999993</v>
      </c>
      <c r="J209" s="36">
        <f t="shared" si="38"/>
        <v>-8.6459933694509772E-2</v>
      </c>
      <c r="K209" s="27">
        <f t="shared" si="52"/>
        <v>-4277.0000000000073</v>
      </c>
      <c r="L209" s="38">
        <f t="shared" si="53"/>
        <v>0.35966636688500314</v>
      </c>
    </row>
    <row r="210" spans="2:12" x14ac:dyDescent="0.25">
      <c r="B210" s="284"/>
      <c r="C210" s="290"/>
      <c r="D210" s="4" t="s">
        <v>48</v>
      </c>
      <c r="E210" s="29">
        <v>24064</v>
      </c>
      <c r="F210" s="29">
        <v>41119</v>
      </c>
      <c r="G210" s="29">
        <v>37475</v>
      </c>
      <c r="H210" s="29">
        <v>39556</v>
      </c>
      <c r="I210" s="29">
        <v>37223</v>
      </c>
      <c r="J210" s="76">
        <f t="shared" si="38"/>
        <v>-5.897967438568108E-2</v>
      </c>
      <c r="K210" s="29">
        <f>I210-H210</f>
        <v>-2333</v>
      </c>
      <c r="L210" s="77">
        <f t="shared" si="53"/>
        <v>0.29625060685889837</v>
      </c>
    </row>
    <row r="211" spans="2:12" x14ac:dyDescent="0.25">
      <c r="B211" s="284"/>
      <c r="C211" s="290"/>
      <c r="D211" s="4" t="s">
        <v>49</v>
      </c>
      <c r="E211" s="29">
        <v>669</v>
      </c>
      <c r="F211" s="29">
        <v>860</v>
      </c>
      <c r="G211" s="29">
        <v>900</v>
      </c>
      <c r="H211" s="29">
        <v>975</v>
      </c>
      <c r="I211" s="29">
        <v>912</v>
      </c>
      <c r="J211" s="76">
        <f t="shared" si="38"/>
        <v>-6.461538461538463E-2</v>
      </c>
      <c r="K211" s="29">
        <f t="shared" ref="K211:K218" si="54">I211-H211</f>
        <v>-63</v>
      </c>
      <c r="L211" s="77">
        <f t="shared" si="53"/>
        <v>7.2584303644336913E-3</v>
      </c>
    </row>
    <row r="212" spans="2:12" x14ac:dyDescent="0.25">
      <c r="B212" s="284"/>
      <c r="C212" s="290"/>
      <c r="D212" s="4" t="s">
        <v>50</v>
      </c>
      <c r="E212" s="29">
        <v>4012</v>
      </c>
      <c r="F212" s="29">
        <v>4679</v>
      </c>
      <c r="G212" s="29">
        <v>4395</v>
      </c>
      <c r="H212" s="29">
        <v>4748</v>
      </c>
      <c r="I212" s="29">
        <v>4616</v>
      </c>
      <c r="J212" s="76">
        <f t="shared" si="38"/>
        <v>-2.780117944397642E-2</v>
      </c>
      <c r="K212" s="29">
        <f t="shared" si="54"/>
        <v>-132</v>
      </c>
      <c r="L212" s="77">
        <f t="shared" si="53"/>
        <v>3.6737844914721401E-2</v>
      </c>
    </row>
    <row r="213" spans="2:12" x14ac:dyDescent="0.25">
      <c r="B213" s="284"/>
      <c r="C213" s="290"/>
      <c r="D213" s="4" t="s">
        <v>51</v>
      </c>
      <c r="E213" s="29">
        <v>11050</v>
      </c>
      <c r="F213" s="29">
        <v>19088</v>
      </c>
      <c r="G213" s="29">
        <v>19209</v>
      </c>
      <c r="H213" s="29">
        <v>21355</v>
      </c>
      <c r="I213" s="29">
        <v>20029</v>
      </c>
      <c r="J213" s="76">
        <f t="shared" si="38"/>
        <v>-6.2093186607351858E-2</v>
      </c>
      <c r="K213" s="29">
        <f t="shared" si="54"/>
        <v>-1326</v>
      </c>
      <c r="L213" s="77">
        <f t="shared" si="53"/>
        <v>0.1594069098346956</v>
      </c>
    </row>
    <row r="214" spans="2:12" x14ac:dyDescent="0.25">
      <c r="B214" s="284"/>
      <c r="C214" s="290"/>
      <c r="D214" s="4" t="s">
        <v>52</v>
      </c>
      <c r="E214" s="29">
        <v>532</v>
      </c>
      <c r="F214" s="29">
        <v>654</v>
      </c>
      <c r="G214" s="29">
        <v>663</v>
      </c>
      <c r="H214" s="29">
        <v>729</v>
      </c>
      <c r="I214" s="29">
        <v>673</v>
      </c>
      <c r="J214" s="76">
        <f t="shared" si="38"/>
        <v>-7.6817558299039801E-2</v>
      </c>
      <c r="K214" s="29">
        <f t="shared" si="54"/>
        <v>-56</v>
      </c>
      <c r="L214" s="77">
        <f t="shared" si="53"/>
        <v>5.3562759158595112E-3</v>
      </c>
    </row>
    <row r="215" spans="2:12" x14ac:dyDescent="0.25">
      <c r="B215" s="284"/>
      <c r="C215" s="290"/>
      <c r="D215" s="4" t="s">
        <v>53</v>
      </c>
      <c r="E215" s="29">
        <v>2908</v>
      </c>
      <c r="F215" s="29">
        <v>4643</v>
      </c>
      <c r="G215" s="29">
        <v>4790.0000000000009</v>
      </c>
      <c r="H215" s="29">
        <v>5123</v>
      </c>
      <c r="I215" s="29">
        <v>4725</v>
      </c>
      <c r="J215" s="76">
        <f t="shared" si="38"/>
        <v>-7.7688854186999778E-2</v>
      </c>
      <c r="K215" s="29">
        <f t="shared" si="54"/>
        <v>-398</v>
      </c>
      <c r="L215" s="77">
        <f t="shared" si="53"/>
        <v>3.7605354684154817E-2</v>
      </c>
    </row>
    <row r="216" spans="2:12" x14ac:dyDescent="0.25">
      <c r="B216" s="284"/>
      <c r="C216" s="290"/>
      <c r="D216" s="4" t="s">
        <v>54</v>
      </c>
      <c r="E216" s="29">
        <v>2270</v>
      </c>
      <c r="F216" s="29">
        <v>2680</v>
      </c>
      <c r="G216" s="29">
        <v>2774</v>
      </c>
      <c r="H216" s="29">
        <v>2946</v>
      </c>
      <c r="I216" s="29">
        <v>2675.0000000000005</v>
      </c>
      <c r="J216" s="76">
        <f t="shared" si="38"/>
        <v>-9.1989137813984878E-2</v>
      </c>
      <c r="K216" s="29">
        <f t="shared" si="54"/>
        <v>-270.99999999999955</v>
      </c>
      <c r="L216" s="77">
        <f t="shared" si="53"/>
        <v>2.1289803974627333E-2</v>
      </c>
    </row>
    <row r="217" spans="2:12" x14ac:dyDescent="0.25">
      <c r="B217" s="284"/>
      <c r="C217" s="290"/>
      <c r="D217" s="4" t="s">
        <v>55</v>
      </c>
      <c r="E217" s="29">
        <v>4393</v>
      </c>
      <c r="F217" s="29">
        <v>6689.9999999999991</v>
      </c>
      <c r="G217" s="29">
        <v>6356</v>
      </c>
      <c r="H217" s="29">
        <v>6825</v>
      </c>
      <c r="I217" s="29">
        <v>6497</v>
      </c>
      <c r="J217" s="40">
        <f t="shared" si="38"/>
        <v>-4.8058608058608066E-2</v>
      </c>
      <c r="K217" s="29">
        <f t="shared" si="54"/>
        <v>-328</v>
      </c>
      <c r="L217" s="42">
        <f t="shared" si="53"/>
        <v>5.1708357541365893E-2</v>
      </c>
    </row>
    <row r="218" spans="2:12" x14ac:dyDescent="0.25">
      <c r="B218" s="285"/>
      <c r="C218" s="291"/>
      <c r="D218" s="32" t="s">
        <v>56</v>
      </c>
      <c r="E218" s="73">
        <v>2862</v>
      </c>
      <c r="F218" s="73">
        <v>3259.0000000000005</v>
      </c>
      <c r="G218" s="73">
        <v>3072</v>
      </c>
      <c r="H218" s="73">
        <v>3320</v>
      </c>
      <c r="I218" s="73">
        <v>3104.9999999999995</v>
      </c>
      <c r="J218" s="63">
        <f t="shared" si="38"/>
        <v>-6.4759036144578452E-2</v>
      </c>
      <c r="K218" s="73">
        <f t="shared" si="54"/>
        <v>-215.00000000000045</v>
      </c>
      <c r="L218" s="57">
        <f t="shared" si="53"/>
        <v>2.4712090221016017E-2</v>
      </c>
    </row>
    <row r="219" spans="2:12" x14ac:dyDescent="0.25">
      <c r="B219" s="280"/>
      <c r="C219" s="280"/>
      <c r="D219" s="280"/>
      <c r="E219" s="280"/>
      <c r="F219" s="280"/>
      <c r="G219" s="280"/>
      <c r="H219" s="280"/>
      <c r="I219" s="280"/>
      <c r="J219" s="280"/>
      <c r="K219" s="280"/>
      <c r="L219" s="49"/>
    </row>
    <row r="220" spans="2:12" x14ac:dyDescent="0.25">
      <c r="B220" s="282" t="s">
        <v>58</v>
      </c>
      <c r="C220" s="282"/>
      <c r="D220" s="282"/>
      <c r="E220" s="282"/>
      <c r="F220" s="282"/>
      <c r="G220" s="282"/>
      <c r="H220" s="282"/>
      <c r="I220" s="282"/>
      <c r="J220" s="282"/>
      <c r="K220" s="282"/>
    </row>
  </sheetData>
  <mergeCells count="30">
    <mergeCell ref="D1:L2"/>
    <mergeCell ref="B7:B72"/>
    <mergeCell ref="C7:C17"/>
    <mergeCell ref="C18:C28"/>
    <mergeCell ref="C29:C39"/>
    <mergeCell ref="C40:C50"/>
    <mergeCell ref="C51:C61"/>
    <mergeCell ref="C62:C72"/>
    <mergeCell ref="B73:K73"/>
    <mergeCell ref="B74:K74"/>
    <mergeCell ref="B77:K77"/>
    <mergeCell ref="B80:B145"/>
    <mergeCell ref="C80:C90"/>
    <mergeCell ref="C91:C101"/>
    <mergeCell ref="C102:C112"/>
    <mergeCell ref="C113:C123"/>
    <mergeCell ref="C124:C134"/>
    <mergeCell ref="C135:C145"/>
    <mergeCell ref="B219:K219"/>
    <mergeCell ref="B220:K220"/>
    <mergeCell ref="B146:K146"/>
    <mergeCell ref="B147:K147"/>
    <mergeCell ref="B150:K150"/>
    <mergeCell ref="B153:B218"/>
    <mergeCell ref="C153:C163"/>
    <mergeCell ref="C164:C174"/>
    <mergeCell ref="C175:C185"/>
    <mergeCell ref="C186:C196"/>
    <mergeCell ref="C197:C207"/>
    <mergeCell ref="C208:C218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C6D16-729A-4D37-B260-2B1BA6556D19}">
  <sheetPr>
    <tabColor rgb="FFF29140"/>
    <pageSetUpPr fitToPage="1"/>
  </sheetPr>
  <dimension ref="A1:P162"/>
  <sheetViews>
    <sheetView showGridLines="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30.140625" customWidth="1"/>
    <col min="3" max="9" width="12" customWidth="1"/>
    <col min="10" max="11" width="10.5703125" customWidth="1"/>
    <col min="12" max="12" width="11.28515625" customWidth="1"/>
    <col min="13" max="13" width="10.5703125" customWidth="1"/>
  </cols>
  <sheetData>
    <row r="1" spans="1:14" ht="42.75" customHeight="1" x14ac:dyDescent="0.25"/>
    <row r="4" spans="1:14" ht="42" customHeight="1" thickBot="1" x14ac:dyDescent="0.3">
      <c r="B4" s="283" t="str">
        <f>CONCATENATE("Pernoctaciones en los establecimientos alojativos de Tenerife según lugar de residencia y municipio de alojamiento (hotel + apartamento)")</f>
        <v>Pernoctaciones en los establecimientos alojativos de Tenerife según lugar de residencia y municipio de alojamiento (hotel + apartamento)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</row>
    <row r="5" spans="1:14" ht="6" customHeight="1" x14ac:dyDescent="0.25"/>
    <row r="6" spans="1:14" s="148" customFormat="1" ht="72" customHeight="1" x14ac:dyDescent="0.25">
      <c r="B6" s="149"/>
      <c r="C6" s="187">
        <v>2019</v>
      </c>
      <c r="D6" s="187">
        <v>2020</v>
      </c>
      <c r="E6" s="187">
        <v>2021</v>
      </c>
      <c r="F6" s="187">
        <v>2022</v>
      </c>
      <c r="G6" s="187">
        <v>2023</v>
      </c>
      <c r="H6" s="187">
        <v>2024</v>
      </c>
      <c r="I6" s="175" t="str">
        <f>CONCATENATE("var. ",RIGHT(H6,2),"/",RIGHT(G6,2))</f>
        <v>var. 24/23</v>
      </c>
      <c r="J6" s="175" t="str">
        <f>CONCATENATE("var. ",RIGHT(H6,2),"/",RIGHT(E6,2))</f>
        <v>var. 24/21</v>
      </c>
      <c r="K6" s="174" t="str">
        <f>CONCATENATE("dif. ",RIGHT(H6,2),"/",RIGHT(G6,2))</f>
        <v>dif. 24/23</v>
      </c>
      <c r="L6" s="174" t="str">
        <f>CONCATENATE("dif. ",RIGHT(H6,2),"/",RIGHT(E6,2))</f>
        <v>dif. 24/21</v>
      </c>
      <c r="M6" s="175" t="str">
        <f>CONCATENATE("Cuota s/ total lugares de residencia ",RIGHT(H6,4))</f>
        <v>Cuota s/ total lugares de residencia 2024</v>
      </c>
    </row>
    <row r="7" spans="1:14" s="148" customFormat="1" x14ac:dyDescent="0.25">
      <c r="B7" s="154" t="s">
        <v>46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</row>
    <row r="8" spans="1:14" x14ac:dyDescent="0.25">
      <c r="A8" s="1">
        <v>3</v>
      </c>
      <c r="B8" s="158" t="s">
        <v>71</v>
      </c>
      <c r="C8" s="178">
        <v>34034766</v>
      </c>
      <c r="D8" s="178">
        <v>10243785</v>
      </c>
      <c r="E8" s="178">
        <v>13903380</v>
      </c>
      <c r="F8" s="178">
        <v>31405937</v>
      </c>
      <c r="G8" s="178">
        <v>34492002</v>
      </c>
      <c r="H8" s="178">
        <v>36085760</v>
      </c>
      <c r="I8" s="179">
        <f>IFERROR(H8/G8-1,"-")</f>
        <v>4.6206595952302143E-2</v>
      </c>
      <c r="J8" s="179">
        <f>IFERROR(H8/E8-1,"-")</f>
        <v>1.5954667138494378</v>
      </c>
      <c r="K8" s="178">
        <f>H8-G8</f>
        <v>1593758</v>
      </c>
      <c r="L8" s="178">
        <f>H8-E8</f>
        <v>22182380</v>
      </c>
      <c r="M8" s="179">
        <f>H8/H$8</f>
        <v>1</v>
      </c>
      <c r="N8" s="81"/>
    </row>
    <row r="9" spans="1:14" x14ac:dyDescent="0.25">
      <c r="A9" s="1" t="s">
        <v>99</v>
      </c>
      <c r="B9" s="161" t="s">
        <v>100</v>
      </c>
      <c r="C9" s="162">
        <v>4613933</v>
      </c>
      <c r="D9" s="162">
        <v>1666329</v>
      </c>
      <c r="E9" s="162">
        <v>2851484</v>
      </c>
      <c r="F9" s="162">
        <v>4154268</v>
      </c>
      <c r="G9" s="162">
        <v>4262718</v>
      </c>
      <c r="H9" s="162">
        <v>4222283</v>
      </c>
      <c r="I9" s="163">
        <f>IFERROR(H9/G9-1,"-")</f>
        <v>-9.4857318734197227E-3</v>
      </c>
      <c r="J9" s="180">
        <f t="shared" ref="J9:J20" si="0">IFERROR(H9/E9-1,"-")</f>
        <v>0.48073178737808098</v>
      </c>
      <c r="K9" s="162">
        <f t="shared" ref="K9:K19" si="1">H9-G9</f>
        <v>-40435</v>
      </c>
      <c r="L9" s="162">
        <f t="shared" ref="L9:L20" si="2">H9-E9</f>
        <v>1370799</v>
      </c>
      <c r="M9" s="163">
        <f>H9/H$8</f>
        <v>0.11700690244572928</v>
      </c>
      <c r="N9" s="81"/>
    </row>
    <row r="10" spans="1:14" x14ac:dyDescent="0.25">
      <c r="A10" s="164" t="s">
        <v>106</v>
      </c>
      <c r="B10" s="165" t="s">
        <v>106</v>
      </c>
      <c r="C10" s="166">
        <v>1301233</v>
      </c>
      <c r="D10" s="166">
        <v>564792</v>
      </c>
      <c r="E10" s="166">
        <v>1116779</v>
      </c>
      <c r="F10" s="166">
        <v>1214668</v>
      </c>
      <c r="G10" s="166">
        <v>1323436</v>
      </c>
      <c r="H10" s="166">
        <v>1324542</v>
      </c>
      <c r="I10" s="167">
        <f>IFERROR(H10/G10-1,"-")</f>
        <v>8.357034265351615E-4</v>
      </c>
      <c r="J10" s="181">
        <f t="shared" si="0"/>
        <v>0.18603770307285505</v>
      </c>
      <c r="K10" s="166">
        <f t="shared" si="1"/>
        <v>1106</v>
      </c>
      <c r="L10" s="166">
        <f t="shared" si="2"/>
        <v>207763</v>
      </c>
      <c r="M10" s="167">
        <f>H10/H$8</f>
        <v>3.6705392930618613E-2</v>
      </c>
      <c r="N10" s="81"/>
    </row>
    <row r="11" spans="1:14" x14ac:dyDescent="0.25">
      <c r="A11" s="164" t="s">
        <v>103</v>
      </c>
      <c r="B11" s="165" t="s">
        <v>103</v>
      </c>
      <c r="C11" s="166">
        <v>3312700</v>
      </c>
      <c r="D11" s="166">
        <v>1101537</v>
      </c>
      <c r="E11" s="166">
        <v>1734705</v>
      </c>
      <c r="F11" s="166">
        <v>2939600</v>
      </c>
      <c r="G11" s="166">
        <v>2939282</v>
      </c>
      <c r="H11" s="166">
        <v>2897741</v>
      </c>
      <c r="I11" s="167">
        <f>IFERROR(H11/G11-1,"-")</f>
        <v>-1.4133043375899268E-2</v>
      </c>
      <c r="J11" s="181">
        <f t="shared" si="0"/>
        <v>0.67045174827996701</v>
      </c>
      <c r="K11" s="166">
        <f t="shared" si="1"/>
        <v>-41541</v>
      </c>
      <c r="L11" s="166">
        <f t="shared" si="2"/>
        <v>1163036</v>
      </c>
      <c r="M11" s="167">
        <f>H11/H$8</f>
        <v>8.0301509515110669E-2</v>
      </c>
      <c r="N11" s="81"/>
    </row>
    <row r="12" spans="1:14" x14ac:dyDescent="0.25">
      <c r="A12" s="1"/>
      <c r="B12" s="161" t="s">
        <v>110</v>
      </c>
      <c r="C12" s="162">
        <v>29420833</v>
      </c>
      <c r="D12" s="162">
        <v>8577456</v>
      </c>
      <c r="E12" s="162">
        <v>11051896</v>
      </c>
      <c r="F12" s="162">
        <v>27251669</v>
      </c>
      <c r="G12" s="162">
        <v>30229284</v>
      </c>
      <c r="H12" s="162">
        <v>31863477</v>
      </c>
      <c r="I12" s="163">
        <f>IFERROR(H12/G12-1,"-")</f>
        <v>5.4059930761178432E-2</v>
      </c>
      <c r="J12" s="180">
        <f t="shared" si="0"/>
        <v>1.8830778899837637</v>
      </c>
      <c r="K12" s="162">
        <f t="shared" si="1"/>
        <v>1634193</v>
      </c>
      <c r="L12" s="162">
        <f t="shared" si="2"/>
        <v>20811581</v>
      </c>
      <c r="M12" s="163">
        <f>H12/H$8</f>
        <v>0.88299309755427069</v>
      </c>
      <c r="N12" s="81"/>
    </row>
    <row r="13" spans="1:14" s="58" customFormat="1" x14ac:dyDescent="0.25">
      <c r="B13" s="165" t="s">
        <v>113</v>
      </c>
      <c r="C13" s="166">
        <v>13160030</v>
      </c>
      <c r="D13" s="166">
        <v>3390819</v>
      </c>
      <c r="E13" s="166">
        <v>3350798</v>
      </c>
      <c r="F13" s="166">
        <v>12657617</v>
      </c>
      <c r="G13" s="166">
        <v>13879437</v>
      </c>
      <c r="H13" s="166">
        <v>14676825</v>
      </c>
      <c r="I13" s="167">
        <f t="shared" ref="I13:I20" si="3">IFERROR(H13/G13-1,"-")</f>
        <v>5.7451033496531689E-2</v>
      </c>
      <c r="J13" s="181">
        <f t="shared" si="0"/>
        <v>3.3800984123781861</v>
      </c>
      <c r="K13" s="166">
        <f t="shared" si="1"/>
        <v>797388</v>
      </c>
      <c r="L13" s="166">
        <f t="shared" si="2"/>
        <v>11326027</v>
      </c>
      <c r="M13" s="167">
        <f t="shared" ref="M13:M20" si="4">H13/H$8</f>
        <v>0.40672068428100172</v>
      </c>
      <c r="N13" s="168"/>
    </row>
    <row r="14" spans="1:14" s="58" customFormat="1" x14ac:dyDescent="0.25">
      <c r="B14" s="165" t="s">
        <v>116</v>
      </c>
      <c r="C14" s="166">
        <v>4424103</v>
      </c>
      <c r="D14" s="166">
        <v>1278654</v>
      </c>
      <c r="E14" s="166">
        <v>1806937</v>
      </c>
      <c r="F14" s="166">
        <v>3169256</v>
      </c>
      <c r="G14" s="166">
        <v>3606205</v>
      </c>
      <c r="H14" s="166">
        <v>3758646</v>
      </c>
      <c r="I14" s="167">
        <f t="shared" si="3"/>
        <v>4.227186197124122E-2</v>
      </c>
      <c r="J14" s="181">
        <f t="shared" si="0"/>
        <v>1.080120114868421</v>
      </c>
      <c r="K14" s="166">
        <f t="shared" si="1"/>
        <v>152441</v>
      </c>
      <c r="L14" s="166">
        <f t="shared" si="2"/>
        <v>1951709</v>
      </c>
      <c r="M14" s="167">
        <f t="shared" si="4"/>
        <v>0.10415870415366062</v>
      </c>
      <c r="N14" s="168"/>
    </row>
    <row r="15" spans="1:14" x14ac:dyDescent="0.25">
      <c r="A15" s="1"/>
      <c r="B15" s="165" t="s">
        <v>119</v>
      </c>
      <c r="C15" s="166">
        <v>1180822</v>
      </c>
      <c r="D15" s="166">
        <v>395218</v>
      </c>
      <c r="E15" s="166">
        <v>815902</v>
      </c>
      <c r="F15" s="166">
        <v>1288352</v>
      </c>
      <c r="G15" s="166">
        <v>1510103</v>
      </c>
      <c r="H15" s="166">
        <v>1590940</v>
      </c>
      <c r="I15" s="167">
        <f t="shared" si="3"/>
        <v>5.3530785648396195E-2</v>
      </c>
      <c r="J15" s="181">
        <f t="shared" si="0"/>
        <v>0.94991555358364121</v>
      </c>
      <c r="K15" s="166">
        <f t="shared" si="1"/>
        <v>80837</v>
      </c>
      <c r="L15" s="166">
        <f t="shared" si="2"/>
        <v>775038</v>
      </c>
      <c r="M15" s="167">
        <f t="shared" si="4"/>
        <v>4.4087750957718504E-2</v>
      </c>
      <c r="N15" s="81"/>
    </row>
    <row r="16" spans="1:14" x14ac:dyDescent="0.25">
      <c r="A16" s="1"/>
      <c r="B16" s="165" t="s">
        <v>126</v>
      </c>
      <c r="C16" s="166">
        <v>1116998</v>
      </c>
      <c r="D16" s="166">
        <v>302698</v>
      </c>
      <c r="E16" s="166">
        <v>691981</v>
      </c>
      <c r="F16" s="166">
        <v>1287744</v>
      </c>
      <c r="G16" s="166">
        <v>1318405</v>
      </c>
      <c r="H16" s="166">
        <v>1376091</v>
      </c>
      <c r="I16" s="167">
        <f t="shared" si="3"/>
        <v>4.3754385033430543E-2</v>
      </c>
      <c r="J16" s="181">
        <f t="shared" si="0"/>
        <v>0.98862541023525208</v>
      </c>
      <c r="K16" s="166">
        <f t="shared" si="1"/>
        <v>57686</v>
      </c>
      <c r="L16" s="166">
        <f t="shared" si="2"/>
        <v>684110</v>
      </c>
      <c r="M16" s="167">
        <f t="shared" si="4"/>
        <v>3.8133906560371737E-2</v>
      </c>
      <c r="N16" s="81"/>
    </row>
    <row r="17" spans="1:14" x14ac:dyDescent="0.25">
      <c r="A17" s="1"/>
      <c r="B17" s="165" t="s">
        <v>122</v>
      </c>
      <c r="C17" s="166">
        <v>1084813</v>
      </c>
      <c r="D17" s="166">
        <v>443857</v>
      </c>
      <c r="E17" s="166">
        <v>726467</v>
      </c>
      <c r="F17" s="166">
        <v>1124652</v>
      </c>
      <c r="G17" s="166">
        <v>1170697</v>
      </c>
      <c r="H17" s="166">
        <v>1202943</v>
      </c>
      <c r="I17" s="167">
        <f t="shared" si="3"/>
        <v>2.7544274906316391E-2</v>
      </c>
      <c r="J17" s="181">
        <f t="shared" si="0"/>
        <v>0.6558811343116755</v>
      </c>
      <c r="K17" s="166">
        <f t="shared" si="1"/>
        <v>32246</v>
      </c>
      <c r="L17" s="166">
        <f t="shared" si="2"/>
        <v>476476</v>
      </c>
      <c r="M17" s="167">
        <f t="shared" si="4"/>
        <v>3.3335670358612374E-2</v>
      </c>
      <c r="N17" s="81"/>
    </row>
    <row r="18" spans="1:14" x14ac:dyDescent="0.25">
      <c r="A18" s="1"/>
      <c r="B18" s="165" t="s">
        <v>131</v>
      </c>
      <c r="C18" s="166">
        <v>594834</v>
      </c>
      <c r="D18" s="166">
        <v>241432</v>
      </c>
      <c r="E18" s="166">
        <v>191434</v>
      </c>
      <c r="F18" s="166">
        <v>491173</v>
      </c>
      <c r="G18" s="166">
        <v>523441</v>
      </c>
      <c r="H18" s="166">
        <v>511222</v>
      </c>
      <c r="I18" s="167">
        <f t="shared" si="3"/>
        <v>-2.3343605105446419E-2</v>
      </c>
      <c r="J18" s="181">
        <f t="shared" si="0"/>
        <v>1.670486956340044</v>
      </c>
      <c r="K18" s="166">
        <f t="shared" si="1"/>
        <v>-12219</v>
      </c>
      <c r="L18" s="166">
        <f t="shared" si="2"/>
        <v>319788</v>
      </c>
      <c r="M18" s="167">
        <f t="shared" si="4"/>
        <v>1.4166862496452895E-2</v>
      </c>
      <c r="N18" s="81"/>
    </row>
    <row r="19" spans="1:14" x14ac:dyDescent="0.25">
      <c r="A19" s="164" t="s">
        <v>147</v>
      </c>
      <c r="B19" s="165" t="s">
        <v>134</v>
      </c>
      <c r="C19" s="166">
        <v>847396</v>
      </c>
      <c r="D19" s="166">
        <v>356220</v>
      </c>
      <c r="E19" s="166">
        <v>171613</v>
      </c>
      <c r="F19" s="166">
        <v>432862</v>
      </c>
      <c r="G19" s="166">
        <v>543161</v>
      </c>
      <c r="H19" s="166">
        <v>529346</v>
      </c>
      <c r="I19" s="167">
        <f t="shared" si="3"/>
        <v>-2.5434447613138622E-2</v>
      </c>
      <c r="J19" s="181">
        <f t="shared" si="0"/>
        <v>2.0845332230075808</v>
      </c>
      <c r="K19" s="166">
        <f t="shared" si="1"/>
        <v>-13815</v>
      </c>
      <c r="L19" s="166">
        <f t="shared" si="2"/>
        <v>357733</v>
      </c>
      <c r="M19" s="167">
        <f t="shared" si="4"/>
        <v>1.4669110474602724E-2</v>
      </c>
      <c r="N19" s="81"/>
    </row>
    <row r="20" spans="1:14" x14ac:dyDescent="0.25">
      <c r="A20" s="169" t="s">
        <v>148</v>
      </c>
      <c r="B20" s="170" t="s">
        <v>148</v>
      </c>
      <c r="C20" s="171">
        <f t="shared" ref="C20" si="5">C12-SUM(C13:C19)</f>
        <v>7011837</v>
      </c>
      <c r="D20" s="171">
        <f t="shared" ref="D20:H20" si="6">D12-SUM(D13:D19)</f>
        <v>2168558</v>
      </c>
      <c r="E20" s="171">
        <f t="shared" si="6"/>
        <v>3296764</v>
      </c>
      <c r="F20" s="171">
        <f t="shared" si="6"/>
        <v>6800013</v>
      </c>
      <c r="G20" s="171">
        <f t="shared" si="6"/>
        <v>7677835</v>
      </c>
      <c r="H20" s="171">
        <f t="shared" si="6"/>
        <v>8217464</v>
      </c>
      <c r="I20" s="172">
        <f t="shared" si="3"/>
        <v>7.0284005842792929E-2</v>
      </c>
      <c r="J20" s="182">
        <f t="shared" si="0"/>
        <v>1.4925848498709642</v>
      </c>
      <c r="K20" s="171">
        <f>H20-G20</f>
        <v>539629</v>
      </c>
      <c r="L20" s="171">
        <f t="shared" si="2"/>
        <v>4920700</v>
      </c>
      <c r="M20" s="172">
        <f t="shared" si="4"/>
        <v>0.22772040827185017</v>
      </c>
      <c r="N20" s="81"/>
    </row>
    <row r="21" spans="1:14" s="148" customFormat="1" x14ac:dyDescent="0.25">
      <c r="B21" s="157" t="s">
        <v>47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</row>
    <row r="22" spans="1:14" x14ac:dyDescent="0.25">
      <c r="A22" s="1">
        <v>3</v>
      </c>
      <c r="B22" s="158" t="s">
        <v>71</v>
      </c>
      <c r="C22" s="178">
        <v>13105945</v>
      </c>
      <c r="D22" s="178">
        <v>3913809</v>
      </c>
      <c r="E22" s="178">
        <v>5763674</v>
      </c>
      <c r="F22" s="178">
        <v>12632387</v>
      </c>
      <c r="G22" s="178">
        <v>13593290</v>
      </c>
      <c r="H22" s="178">
        <v>13840017</v>
      </c>
      <c r="I22" s="179">
        <f>IFERROR(H22/G22-1,"-")</f>
        <v>1.8150646385091562E-2</v>
      </c>
      <c r="J22" s="179">
        <f>IFERROR(H22/E22-1,"-")</f>
        <v>1.4012490990989428</v>
      </c>
      <c r="K22" s="178">
        <f>H22-G22</f>
        <v>246727</v>
      </c>
      <c r="L22" s="178">
        <f>H22-E22</f>
        <v>8076343</v>
      </c>
      <c r="M22" s="179">
        <f>H22/H$8</f>
        <v>0.38353125997623438</v>
      </c>
      <c r="N22" s="81"/>
    </row>
    <row r="23" spans="1:14" x14ac:dyDescent="0.25">
      <c r="A23" s="1" t="s">
        <v>99</v>
      </c>
      <c r="B23" s="161" t="s">
        <v>100</v>
      </c>
      <c r="C23" s="162">
        <v>1013579</v>
      </c>
      <c r="D23" s="162">
        <v>419753</v>
      </c>
      <c r="E23" s="162">
        <v>926094</v>
      </c>
      <c r="F23" s="162">
        <v>924124</v>
      </c>
      <c r="G23" s="162">
        <v>819722</v>
      </c>
      <c r="H23" s="162">
        <v>742797</v>
      </c>
      <c r="I23" s="163">
        <f>IFERROR(H23/G23-1,"-")</f>
        <v>-9.3842790604619641E-2</v>
      </c>
      <c r="J23" s="180">
        <f t="shared" ref="J23:J34" si="7">IFERROR(H23/E23-1,"-")</f>
        <v>-0.19792483268437111</v>
      </c>
      <c r="K23" s="162">
        <f t="shared" ref="K23:K33" si="8">H23-G23</f>
        <v>-76925</v>
      </c>
      <c r="L23" s="162">
        <f t="shared" ref="L23:L34" si="9">H23-E23</f>
        <v>-183297</v>
      </c>
      <c r="M23" s="163">
        <f>H23/H$8</f>
        <v>2.0584213828391033E-2</v>
      </c>
      <c r="N23" s="81"/>
    </row>
    <row r="24" spans="1:14" x14ac:dyDescent="0.25">
      <c r="A24" s="164" t="s">
        <v>106</v>
      </c>
      <c r="B24" s="165" t="s">
        <v>106</v>
      </c>
      <c r="C24" s="166">
        <v>409352</v>
      </c>
      <c r="D24" s="166">
        <v>197437</v>
      </c>
      <c r="E24" s="166">
        <v>341894</v>
      </c>
      <c r="F24" s="166">
        <v>286571</v>
      </c>
      <c r="G24" s="166">
        <v>258252</v>
      </c>
      <c r="H24" s="166">
        <v>219334</v>
      </c>
      <c r="I24" s="167">
        <f>IFERROR(H24/G24-1,"-")</f>
        <v>-0.15069776807149604</v>
      </c>
      <c r="J24" s="181">
        <f t="shared" si="7"/>
        <v>-0.35847367897652493</v>
      </c>
      <c r="K24" s="166">
        <f t="shared" si="8"/>
        <v>-38918</v>
      </c>
      <c r="L24" s="166">
        <f t="shared" si="9"/>
        <v>-122560</v>
      </c>
      <c r="M24" s="167">
        <f>H24/H$8</f>
        <v>6.0781316508229282E-3</v>
      </c>
      <c r="N24" s="81"/>
    </row>
    <row r="25" spans="1:14" x14ac:dyDescent="0.25">
      <c r="A25" s="164" t="s">
        <v>103</v>
      </c>
      <c r="B25" s="165" t="s">
        <v>12</v>
      </c>
      <c r="C25" s="166">
        <v>604227</v>
      </c>
      <c r="D25" s="166">
        <v>222316</v>
      </c>
      <c r="E25" s="166">
        <v>584200</v>
      </c>
      <c r="F25" s="166">
        <v>637553</v>
      </c>
      <c r="G25" s="166">
        <v>561470</v>
      </c>
      <c r="H25" s="166">
        <v>523463</v>
      </c>
      <c r="I25" s="167">
        <f>IFERROR(H25/G25-1,"-")</f>
        <v>-6.7691951484496027E-2</v>
      </c>
      <c r="J25" s="181">
        <f t="shared" si="7"/>
        <v>-0.1039661074974324</v>
      </c>
      <c r="K25" s="166">
        <f t="shared" si="8"/>
        <v>-38007</v>
      </c>
      <c r="L25" s="166">
        <f t="shared" si="9"/>
        <v>-60737</v>
      </c>
      <c r="M25" s="167">
        <f>H25/H$8</f>
        <v>1.4506082177568104E-2</v>
      </c>
      <c r="N25" s="81"/>
    </row>
    <row r="26" spans="1:14" x14ac:dyDescent="0.25">
      <c r="A26" s="1"/>
      <c r="B26" s="161" t="s">
        <v>110</v>
      </c>
      <c r="C26" s="162">
        <v>12092366</v>
      </c>
      <c r="D26" s="162">
        <v>3494056</v>
      </c>
      <c r="E26" s="162">
        <v>4837580</v>
      </c>
      <c r="F26" s="162">
        <v>11708263</v>
      </c>
      <c r="G26" s="162">
        <v>12773568</v>
      </c>
      <c r="H26" s="162">
        <v>13097220</v>
      </c>
      <c r="I26" s="163">
        <f>IFERROR(H26/G26-1,"-")</f>
        <v>2.5337634715687951E-2</v>
      </c>
      <c r="J26" s="180">
        <f t="shared" si="7"/>
        <v>1.7073908855254074</v>
      </c>
      <c r="K26" s="162">
        <f t="shared" si="8"/>
        <v>323652</v>
      </c>
      <c r="L26" s="162">
        <f t="shared" si="9"/>
        <v>8259640</v>
      </c>
      <c r="M26" s="163">
        <f>H26/H$8</f>
        <v>0.36294704614784334</v>
      </c>
      <c r="N26" s="81"/>
    </row>
    <row r="27" spans="1:14" s="58" customFormat="1" x14ac:dyDescent="0.25">
      <c r="B27" s="165" t="s">
        <v>113</v>
      </c>
      <c r="C27" s="166">
        <v>5650065</v>
      </c>
      <c r="D27" s="166">
        <v>1483938</v>
      </c>
      <c r="E27" s="166">
        <v>1575483</v>
      </c>
      <c r="F27" s="166">
        <v>5839663</v>
      </c>
      <c r="G27" s="166">
        <v>6457010</v>
      </c>
      <c r="H27" s="166">
        <v>6689570</v>
      </c>
      <c r="I27" s="167">
        <f t="shared" ref="I27:I34" si="10">IFERROR(H27/G27-1,"-")</f>
        <v>3.6016670254498617E-2</v>
      </c>
      <c r="J27" s="181">
        <f t="shared" si="7"/>
        <v>3.2460439116131372</v>
      </c>
      <c r="K27" s="166">
        <f t="shared" si="8"/>
        <v>232560</v>
      </c>
      <c r="L27" s="166">
        <f t="shared" si="9"/>
        <v>5114087</v>
      </c>
      <c r="M27" s="167">
        <f t="shared" ref="M27:M34" si="11">H27/H$8</f>
        <v>0.18537977307392167</v>
      </c>
      <c r="N27" s="168"/>
    </row>
    <row r="28" spans="1:14" s="58" customFormat="1" x14ac:dyDescent="0.25">
      <c r="B28" s="165" t="s">
        <v>116</v>
      </c>
      <c r="C28" s="166">
        <v>1813831</v>
      </c>
      <c r="D28" s="166">
        <v>510569</v>
      </c>
      <c r="E28" s="166">
        <v>851193</v>
      </c>
      <c r="F28" s="166">
        <v>1420539</v>
      </c>
      <c r="G28" s="166">
        <v>1496166</v>
      </c>
      <c r="H28" s="166">
        <v>1483358</v>
      </c>
      <c r="I28" s="167">
        <f t="shared" si="10"/>
        <v>-8.5605474258871883E-3</v>
      </c>
      <c r="J28" s="181">
        <f t="shared" si="7"/>
        <v>0.7426811545677654</v>
      </c>
      <c r="K28" s="166">
        <f t="shared" si="8"/>
        <v>-12808</v>
      </c>
      <c r="L28" s="166">
        <f t="shared" si="9"/>
        <v>632165</v>
      </c>
      <c r="M28" s="167">
        <f t="shared" si="11"/>
        <v>4.1106464156498296E-2</v>
      </c>
      <c r="N28" s="168"/>
    </row>
    <row r="29" spans="1:14" x14ac:dyDescent="0.25">
      <c r="A29" s="1"/>
      <c r="B29" s="165" t="s">
        <v>119</v>
      </c>
      <c r="C29" s="166">
        <v>428540</v>
      </c>
      <c r="D29" s="166">
        <v>173273</v>
      </c>
      <c r="E29" s="166">
        <v>321437</v>
      </c>
      <c r="F29" s="166">
        <v>466813</v>
      </c>
      <c r="G29" s="166">
        <v>535892</v>
      </c>
      <c r="H29" s="166">
        <v>462244</v>
      </c>
      <c r="I29" s="167">
        <f t="shared" si="10"/>
        <v>-0.13743067633030537</v>
      </c>
      <c r="J29" s="181">
        <f t="shared" si="7"/>
        <v>0.43805473545360374</v>
      </c>
      <c r="K29" s="166">
        <f t="shared" si="8"/>
        <v>-73648</v>
      </c>
      <c r="L29" s="166">
        <f t="shared" si="9"/>
        <v>140807</v>
      </c>
      <c r="M29" s="167">
        <f t="shared" si="11"/>
        <v>1.2809595807321226E-2</v>
      </c>
      <c r="N29" s="81"/>
    </row>
    <row r="30" spans="1:14" x14ac:dyDescent="0.25">
      <c r="A30" s="1"/>
      <c r="B30" s="165" t="s">
        <v>126</v>
      </c>
      <c r="C30" s="166">
        <v>502164</v>
      </c>
      <c r="D30" s="166">
        <v>134940</v>
      </c>
      <c r="E30" s="166">
        <v>321774</v>
      </c>
      <c r="F30" s="166">
        <v>583899</v>
      </c>
      <c r="G30" s="166">
        <v>553144</v>
      </c>
      <c r="H30" s="166">
        <v>562616</v>
      </c>
      <c r="I30" s="167">
        <f t="shared" si="10"/>
        <v>1.7123931562124772E-2</v>
      </c>
      <c r="J30" s="181">
        <f t="shared" si="7"/>
        <v>0.7484818537234208</v>
      </c>
      <c r="K30" s="166">
        <f t="shared" si="8"/>
        <v>9472</v>
      </c>
      <c r="L30" s="166">
        <f t="shared" si="9"/>
        <v>240842</v>
      </c>
      <c r="M30" s="167">
        <f t="shared" si="11"/>
        <v>1.55910808030647E-2</v>
      </c>
      <c r="N30" s="81"/>
    </row>
    <row r="31" spans="1:14" x14ac:dyDescent="0.25">
      <c r="A31" s="1"/>
      <c r="B31" s="165" t="s">
        <v>122</v>
      </c>
      <c r="C31" s="166">
        <v>566275</v>
      </c>
      <c r="D31" s="166">
        <v>241515</v>
      </c>
      <c r="E31" s="166">
        <v>414396</v>
      </c>
      <c r="F31" s="166">
        <v>639629</v>
      </c>
      <c r="G31" s="166">
        <v>620048</v>
      </c>
      <c r="H31" s="166">
        <v>632422</v>
      </c>
      <c r="I31" s="167">
        <f t="shared" si="10"/>
        <v>1.9956519495264891E-2</v>
      </c>
      <c r="J31" s="181">
        <f t="shared" si="7"/>
        <v>0.52612959584551966</v>
      </c>
      <c r="K31" s="166">
        <f t="shared" si="8"/>
        <v>12374</v>
      </c>
      <c r="L31" s="166">
        <f t="shared" si="9"/>
        <v>218026</v>
      </c>
      <c r="M31" s="167">
        <f t="shared" si="11"/>
        <v>1.7525528075340521E-2</v>
      </c>
      <c r="N31" s="81"/>
    </row>
    <row r="32" spans="1:14" x14ac:dyDescent="0.25">
      <c r="A32" s="1"/>
      <c r="B32" s="165" t="s">
        <v>131</v>
      </c>
      <c r="C32" s="166">
        <v>242464</v>
      </c>
      <c r="D32" s="166">
        <v>95128</v>
      </c>
      <c r="E32" s="166">
        <v>58069</v>
      </c>
      <c r="F32" s="166">
        <v>177706</v>
      </c>
      <c r="G32" s="166">
        <v>184397</v>
      </c>
      <c r="H32" s="166">
        <v>184792</v>
      </c>
      <c r="I32" s="167">
        <f t="shared" si="10"/>
        <v>2.1421172795652588E-3</v>
      </c>
      <c r="J32" s="181">
        <f t="shared" si="7"/>
        <v>2.1822831459126211</v>
      </c>
      <c r="K32" s="166">
        <f t="shared" si="8"/>
        <v>395</v>
      </c>
      <c r="L32" s="166">
        <f t="shared" si="9"/>
        <v>126723</v>
      </c>
      <c r="M32" s="167">
        <f t="shared" si="11"/>
        <v>5.1209119608399542E-3</v>
      </c>
      <c r="N32" s="81"/>
    </row>
    <row r="33" spans="1:14" x14ac:dyDescent="0.25">
      <c r="A33" s="164" t="s">
        <v>147</v>
      </c>
      <c r="B33" s="165" t="s">
        <v>134</v>
      </c>
      <c r="C33" s="166">
        <v>276453</v>
      </c>
      <c r="D33" s="166">
        <v>106598</v>
      </c>
      <c r="E33" s="166">
        <v>43884</v>
      </c>
      <c r="F33" s="166">
        <v>147837</v>
      </c>
      <c r="G33" s="166">
        <v>187523</v>
      </c>
      <c r="H33" s="166">
        <v>166807</v>
      </c>
      <c r="I33" s="167">
        <f t="shared" si="10"/>
        <v>-0.11047178212805897</v>
      </c>
      <c r="J33" s="181">
        <f t="shared" si="7"/>
        <v>2.8010892352565855</v>
      </c>
      <c r="K33" s="166">
        <f t="shared" si="8"/>
        <v>-20716</v>
      </c>
      <c r="L33" s="166">
        <f t="shared" si="9"/>
        <v>122923</v>
      </c>
      <c r="M33" s="167">
        <f t="shared" si="11"/>
        <v>4.622515917636209E-3</v>
      </c>
      <c r="N33" s="81"/>
    </row>
    <row r="34" spans="1:14" x14ac:dyDescent="0.25">
      <c r="A34" s="169" t="s">
        <v>148</v>
      </c>
      <c r="B34" s="170" t="s">
        <v>148</v>
      </c>
      <c r="C34" s="171">
        <f t="shared" ref="C34" si="12">C26-SUM(C27:C33)</f>
        <v>2612574</v>
      </c>
      <c r="D34" s="171">
        <f t="shared" ref="D34:H34" si="13">D26-SUM(D27:D33)</f>
        <v>748095</v>
      </c>
      <c r="E34" s="171">
        <f t="shared" si="13"/>
        <v>1251344</v>
      </c>
      <c r="F34" s="171">
        <f t="shared" si="13"/>
        <v>2432177</v>
      </c>
      <c r="G34" s="171">
        <f t="shared" si="13"/>
        <v>2739388</v>
      </c>
      <c r="H34" s="171">
        <f t="shared" si="13"/>
        <v>2915411</v>
      </c>
      <c r="I34" s="172">
        <f t="shared" si="10"/>
        <v>6.4256322945124955E-2</v>
      </c>
      <c r="J34" s="182">
        <f t="shared" si="7"/>
        <v>1.3298237734787555</v>
      </c>
      <c r="K34" s="171">
        <f>H34-G34</f>
        <v>176023</v>
      </c>
      <c r="L34" s="171">
        <f t="shared" si="9"/>
        <v>1664067</v>
      </c>
      <c r="M34" s="172">
        <f t="shared" si="11"/>
        <v>8.0791176353220778E-2</v>
      </c>
      <c r="N34" s="81"/>
    </row>
    <row r="35" spans="1:14" s="148" customFormat="1" x14ac:dyDescent="0.25">
      <c r="B35" s="157" t="s">
        <v>48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</row>
    <row r="36" spans="1:14" x14ac:dyDescent="0.25">
      <c r="A36" s="1">
        <v>3</v>
      </c>
      <c r="B36" s="158" t="s">
        <v>71</v>
      </c>
      <c r="C36" s="178">
        <v>10093577</v>
      </c>
      <c r="D36" s="178">
        <v>2858440</v>
      </c>
      <c r="E36" s="178">
        <v>3367162</v>
      </c>
      <c r="F36" s="178">
        <v>8865243</v>
      </c>
      <c r="G36" s="178">
        <v>9740327</v>
      </c>
      <c r="H36" s="178">
        <v>10013119</v>
      </c>
      <c r="I36" s="179">
        <f>IFERROR(H36/G36-1,"-")</f>
        <v>2.8006451939447174E-2</v>
      </c>
      <c r="J36" s="179">
        <f>IFERROR(H36/E36-1,"-")</f>
        <v>1.973756237448629</v>
      </c>
      <c r="K36" s="178">
        <f>H36-G36</f>
        <v>272792</v>
      </c>
      <c r="L36" s="178">
        <f>H36-E36</f>
        <v>6645957</v>
      </c>
      <c r="M36" s="179">
        <f>H36/H$8</f>
        <v>0.27748117262875993</v>
      </c>
      <c r="N36" s="81"/>
    </row>
    <row r="37" spans="1:14" x14ac:dyDescent="0.25">
      <c r="A37" s="1" t="s">
        <v>99</v>
      </c>
      <c r="B37" s="161" t="s">
        <v>100</v>
      </c>
      <c r="C37" s="162">
        <v>614530</v>
      </c>
      <c r="D37" s="162">
        <v>241430</v>
      </c>
      <c r="E37" s="162">
        <v>350874</v>
      </c>
      <c r="F37" s="162">
        <v>513218</v>
      </c>
      <c r="G37" s="162">
        <v>578106</v>
      </c>
      <c r="H37" s="162">
        <v>549885</v>
      </c>
      <c r="I37" s="163">
        <f>IFERROR(H37/G37-1,"-")</f>
        <v>-4.8816307044036944E-2</v>
      </c>
      <c r="J37" s="180">
        <f t="shared" ref="J37:J48" si="14">IFERROR(H37/E37-1,"-")</f>
        <v>0.56718651139725362</v>
      </c>
      <c r="K37" s="162">
        <f t="shared" ref="K37:K47" si="15">H37-G37</f>
        <v>-28221</v>
      </c>
      <c r="L37" s="162">
        <f t="shared" ref="L37:L48" si="16">H37-E37</f>
        <v>199011</v>
      </c>
      <c r="M37" s="163">
        <f>H37/H$8</f>
        <v>1.5238282358470488E-2</v>
      </c>
      <c r="N37" s="81"/>
    </row>
    <row r="38" spans="1:14" x14ac:dyDescent="0.25">
      <c r="A38" s="164" t="s">
        <v>106</v>
      </c>
      <c r="B38" s="165" t="s">
        <v>106</v>
      </c>
      <c r="C38" s="166">
        <v>210543</v>
      </c>
      <c r="D38" s="166">
        <v>92534</v>
      </c>
      <c r="E38" s="166">
        <v>131066</v>
      </c>
      <c r="F38" s="166">
        <v>155108</v>
      </c>
      <c r="G38" s="166">
        <v>219792</v>
      </c>
      <c r="H38" s="166">
        <v>237231</v>
      </c>
      <c r="I38" s="167">
        <f>IFERROR(H38/G38-1,"-")</f>
        <v>7.9343197204629901E-2</v>
      </c>
      <c r="J38" s="181">
        <f t="shared" si="14"/>
        <v>0.81001174980544155</v>
      </c>
      <c r="K38" s="166">
        <f t="shared" si="15"/>
        <v>17439</v>
      </c>
      <c r="L38" s="166">
        <f t="shared" si="16"/>
        <v>106165</v>
      </c>
      <c r="M38" s="167">
        <f>H38/H$8</f>
        <v>6.5740890589528946E-3</v>
      </c>
      <c r="N38" s="81"/>
    </row>
    <row r="39" spans="1:14" x14ac:dyDescent="0.25">
      <c r="A39" s="164" t="s">
        <v>103</v>
      </c>
      <c r="B39" s="165" t="s">
        <v>103</v>
      </c>
      <c r="C39" s="166">
        <v>403987</v>
      </c>
      <c r="D39" s="166">
        <v>148896</v>
      </c>
      <c r="E39" s="166">
        <v>219808</v>
      </c>
      <c r="F39" s="166">
        <v>358110</v>
      </c>
      <c r="G39" s="166">
        <v>358314</v>
      </c>
      <c r="H39" s="166">
        <v>312654</v>
      </c>
      <c r="I39" s="167">
        <f>IFERROR(H39/G39-1,"-")</f>
        <v>-0.12743013111405077</v>
      </c>
      <c r="J39" s="181">
        <f t="shared" si="14"/>
        <v>0.42239590915708258</v>
      </c>
      <c r="K39" s="166">
        <f t="shared" si="15"/>
        <v>-45660</v>
      </c>
      <c r="L39" s="166">
        <f t="shared" si="16"/>
        <v>92846</v>
      </c>
      <c r="M39" s="167">
        <f>H39/H$8</f>
        <v>8.6641932995175936E-3</v>
      </c>
      <c r="N39" s="81"/>
    </row>
    <row r="40" spans="1:14" x14ac:dyDescent="0.25">
      <c r="A40" s="1"/>
      <c r="B40" s="161" t="s">
        <v>110</v>
      </c>
      <c r="C40" s="162">
        <v>9479047</v>
      </c>
      <c r="D40" s="162">
        <v>2617010</v>
      </c>
      <c r="E40" s="162">
        <v>3016288</v>
      </c>
      <c r="F40" s="162">
        <v>8352025</v>
      </c>
      <c r="G40" s="162">
        <v>9162221</v>
      </c>
      <c r="H40" s="162">
        <v>9463234</v>
      </c>
      <c r="I40" s="163">
        <f>IFERROR(H40/G40-1,"-")</f>
        <v>3.2853715272748829E-2</v>
      </c>
      <c r="J40" s="180">
        <f t="shared" si="14"/>
        <v>2.1373774652818298</v>
      </c>
      <c r="K40" s="162">
        <f t="shared" si="15"/>
        <v>301013</v>
      </c>
      <c r="L40" s="162">
        <f t="shared" si="16"/>
        <v>6446946</v>
      </c>
      <c r="M40" s="163">
        <f>H40/H$8</f>
        <v>0.26224289027028946</v>
      </c>
      <c r="N40" s="81"/>
    </row>
    <row r="41" spans="1:14" s="58" customFormat="1" x14ac:dyDescent="0.25">
      <c r="B41" s="165" t="s">
        <v>113</v>
      </c>
      <c r="C41" s="166">
        <v>5094935</v>
      </c>
      <c r="D41" s="166">
        <v>1173619</v>
      </c>
      <c r="E41" s="166">
        <v>1066343</v>
      </c>
      <c r="F41" s="166">
        <v>4256430</v>
      </c>
      <c r="G41" s="166">
        <v>4628132</v>
      </c>
      <c r="H41" s="166">
        <v>4858902</v>
      </c>
      <c r="I41" s="167">
        <f t="shared" ref="I41:I48" si="17">IFERROR(H41/G41-1,"-")</f>
        <v>4.9862449904194639E-2</v>
      </c>
      <c r="J41" s="181">
        <f t="shared" si="14"/>
        <v>3.5566032693045297</v>
      </c>
      <c r="K41" s="166">
        <f t="shared" si="15"/>
        <v>230770</v>
      </c>
      <c r="L41" s="166">
        <f t="shared" si="16"/>
        <v>3792559</v>
      </c>
      <c r="M41" s="167">
        <f t="shared" ref="M41:M48" si="18">H41/H$8</f>
        <v>0.13464873678703179</v>
      </c>
      <c r="N41" s="168"/>
    </row>
    <row r="42" spans="1:14" s="58" customFormat="1" x14ac:dyDescent="0.25">
      <c r="B42" s="165" t="s">
        <v>116</v>
      </c>
      <c r="C42" s="166">
        <v>470924</v>
      </c>
      <c r="D42" s="166">
        <v>139836</v>
      </c>
      <c r="E42" s="166">
        <v>174981</v>
      </c>
      <c r="F42" s="166">
        <v>311196</v>
      </c>
      <c r="G42" s="166">
        <v>358364</v>
      </c>
      <c r="H42" s="166">
        <v>358116</v>
      </c>
      <c r="I42" s="167">
        <f t="shared" si="17"/>
        <v>-6.920337980377278E-4</v>
      </c>
      <c r="J42" s="181">
        <f t="shared" si="14"/>
        <v>1.0465993450717508</v>
      </c>
      <c r="K42" s="166">
        <f t="shared" si="15"/>
        <v>-248</v>
      </c>
      <c r="L42" s="166">
        <f t="shared" si="16"/>
        <v>183135</v>
      </c>
      <c r="M42" s="167">
        <f t="shared" si="18"/>
        <v>9.9240254327468778E-3</v>
      </c>
      <c r="N42" s="168"/>
    </row>
    <row r="43" spans="1:14" x14ac:dyDescent="0.25">
      <c r="A43" s="1"/>
      <c r="B43" s="165" t="s">
        <v>119</v>
      </c>
      <c r="C43" s="166">
        <v>178407</v>
      </c>
      <c r="D43" s="166">
        <v>67848</v>
      </c>
      <c r="E43" s="166">
        <v>127385</v>
      </c>
      <c r="F43" s="166">
        <v>198903</v>
      </c>
      <c r="G43" s="166">
        <v>247768</v>
      </c>
      <c r="H43" s="166">
        <v>245648</v>
      </c>
      <c r="I43" s="167">
        <f t="shared" si="17"/>
        <v>-8.556391462981483E-3</v>
      </c>
      <c r="J43" s="181">
        <f t="shared" si="14"/>
        <v>0.92839031283118101</v>
      </c>
      <c r="K43" s="166">
        <f t="shared" si="15"/>
        <v>-2120</v>
      </c>
      <c r="L43" s="166">
        <f t="shared" si="16"/>
        <v>118263</v>
      </c>
      <c r="M43" s="167">
        <f t="shared" si="18"/>
        <v>6.8073389614074914E-3</v>
      </c>
      <c r="N43" s="81"/>
    </row>
    <row r="44" spans="1:14" x14ac:dyDescent="0.25">
      <c r="A44" s="1"/>
      <c r="B44" s="165" t="s">
        <v>126</v>
      </c>
      <c r="C44" s="166">
        <v>451476</v>
      </c>
      <c r="D44" s="166">
        <v>124287</v>
      </c>
      <c r="E44" s="166">
        <v>239923</v>
      </c>
      <c r="F44" s="166">
        <v>477050</v>
      </c>
      <c r="G44" s="166">
        <v>501092</v>
      </c>
      <c r="H44" s="166">
        <v>499671</v>
      </c>
      <c r="I44" s="167">
        <f t="shared" si="17"/>
        <v>-2.8358065983891123E-3</v>
      </c>
      <c r="J44" s="181">
        <f t="shared" si="14"/>
        <v>1.0826306773423138</v>
      </c>
      <c r="K44" s="166">
        <f t="shared" si="15"/>
        <v>-1421</v>
      </c>
      <c r="L44" s="166">
        <f t="shared" si="16"/>
        <v>259748</v>
      </c>
      <c r="M44" s="167">
        <f t="shared" si="18"/>
        <v>1.3846763931257094E-2</v>
      </c>
      <c r="N44" s="81"/>
    </row>
    <row r="45" spans="1:14" x14ac:dyDescent="0.25">
      <c r="A45" s="1"/>
      <c r="B45" s="165" t="s">
        <v>122</v>
      </c>
      <c r="C45" s="166">
        <v>353625</v>
      </c>
      <c r="D45" s="166">
        <v>131712</v>
      </c>
      <c r="E45" s="166">
        <v>184201</v>
      </c>
      <c r="F45" s="166">
        <v>318686</v>
      </c>
      <c r="G45" s="166">
        <v>374926</v>
      </c>
      <c r="H45" s="166">
        <v>372782</v>
      </c>
      <c r="I45" s="167">
        <f t="shared" si="17"/>
        <v>-5.7184617764571843E-3</v>
      </c>
      <c r="J45" s="181">
        <f t="shared" si="14"/>
        <v>1.0237783725386942</v>
      </c>
      <c r="K45" s="166">
        <f t="shared" si="15"/>
        <v>-2144</v>
      </c>
      <c r="L45" s="166">
        <f t="shared" si="16"/>
        <v>188581</v>
      </c>
      <c r="M45" s="167">
        <f t="shared" si="18"/>
        <v>1.0330446137202043E-2</v>
      </c>
      <c r="N45" s="81"/>
    </row>
    <row r="46" spans="1:14" x14ac:dyDescent="0.25">
      <c r="A46" s="1"/>
      <c r="B46" s="165" t="s">
        <v>131</v>
      </c>
      <c r="C46" s="166">
        <v>227686</v>
      </c>
      <c r="D46" s="166">
        <v>86739</v>
      </c>
      <c r="E46" s="166">
        <v>81833</v>
      </c>
      <c r="F46" s="166">
        <v>185692</v>
      </c>
      <c r="G46" s="166">
        <v>188338</v>
      </c>
      <c r="H46" s="166">
        <v>187108</v>
      </c>
      <c r="I46" s="167">
        <f t="shared" si="17"/>
        <v>-6.5308116259066296E-3</v>
      </c>
      <c r="J46" s="181">
        <f t="shared" si="14"/>
        <v>1.2864614519814745</v>
      </c>
      <c r="K46" s="166">
        <f t="shared" si="15"/>
        <v>-1230</v>
      </c>
      <c r="L46" s="166">
        <f t="shared" si="16"/>
        <v>105275</v>
      </c>
      <c r="M46" s="167">
        <f t="shared" si="18"/>
        <v>5.1850924020998869E-3</v>
      </c>
      <c r="N46" s="81"/>
    </row>
    <row r="47" spans="1:14" x14ac:dyDescent="0.25">
      <c r="A47" s="164" t="s">
        <v>147</v>
      </c>
      <c r="B47" s="165" t="s">
        <v>134</v>
      </c>
      <c r="C47" s="166">
        <v>366669</v>
      </c>
      <c r="D47" s="166">
        <v>150036</v>
      </c>
      <c r="E47" s="166">
        <v>88248</v>
      </c>
      <c r="F47" s="166">
        <v>188228</v>
      </c>
      <c r="G47" s="166">
        <v>224522</v>
      </c>
      <c r="H47" s="166">
        <v>217369</v>
      </c>
      <c r="I47" s="167">
        <f t="shared" si="17"/>
        <v>-3.1858793347645187E-2</v>
      </c>
      <c r="J47" s="181">
        <f t="shared" si="14"/>
        <v>1.4631606382014324</v>
      </c>
      <c r="K47" s="166">
        <f t="shared" si="15"/>
        <v>-7153</v>
      </c>
      <c r="L47" s="166">
        <f t="shared" si="16"/>
        <v>129121</v>
      </c>
      <c r="M47" s="167">
        <f t="shared" si="18"/>
        <v>6.0236780380959138E-3</v>
      </c>
      <c r="N47" s="81"/>
    </row>
    <row r="48" spans="1:14" x14ac:dyDescent="0.25">
      <c r="A48" s="169" t="s">
        <v>148</v>
      </c>
      <c r="B48" s="170" t="s">
        <v>148</v>
      </c>
      <c r="C48" s="171">
        <f t="shared" ref="C48:H48" si="19">C40-SUM(C41:C47)</f>
        <v>2335325</v>
      </c>
      <c r="D48" s="171">
        <f t="shared" si="19"/>
        <v>742933</v>
      </c>
      <c r="E48" s="171">
        <f t="shared" si="19"/>
        <v>1053374</v>
      </c>
      <c r="F48" s="171">
        <f t="shared" si="19"/>
        <v>2415840</v>
      </c>
      <c r="G48" s="171">
        <f t="shared" si="19"/>
        <v>2639079</v>
      </c>
      <c r="H48" s="171">
        <f t="shared" si="19"/>
        <v>2723638</v>
      </c>
      <c r="I48" s="172">
        <f t="shared" si="17"/>
        <v>3.2041102217857054E-2</v>
      </c>
      <c r="J48" s="182">
        <f t="shared" si="14"/>
        <v>1.5856324534305952</v>
      </c>
      <c r="K48" s="171">
        <f>H48-G48</f>
        <v>84559</v>
      </c>
      <c r="L48" s="171">
        <f t="shared" si="16"/>
        <v>1670264</v>
      </c>
      <c r="M48" s="172">
        <f t="shared" si="18"/>
        <v>7.5476808580448349E-2</v>
      </c>
      <c r="N48" s="81"/>
    </row>
    <row r="49" spans="1:14" s="148" customFormat="1" x14ac:dyDescent="0.25">
      <c r="B49" s="157" t="s">
        <v>49</v>
      </c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</row>
    <row r="50" spans="1:14" x14ac:dyDescent="0.25">
      <c r="A50" s="1">
        <v>3</v>
      </c>
      <c r="B50" s="158" t="s">
        <v>71</v>
      </c>
      <c r="C50" s="178">
        <v>234787</v>
      </c>
      <c r="D50" s="178">
        <v>65275</v>
      </c>
      <c r="E50" s="178">
        <v>98762</v>
      </c>
      <c r="F50" s="178">
        <v>168339</v>
      </c>
      <c r="G50" s="178">
        <v>182130</v>
      </c>
      <c r="H50" s="178">
        <v>192892</v>
      </c>
      <c r="I50" s="179">
        <f>IFERROR(H50/G50-1,"-")</f>
        <v>5.9089661230988799E-2</v>
      </c>
      <c r="J50" s="179">
        <f>IFERROR(H50/E50-1,"-")</f>
        <v>0.95309937020311453</v>
      </c>
      <c r="K50" s="178">
        <f>H50-G50</f>
        <v>10762</v>
      </c>
      <c r="L50" s="178">
        <f>H50-E50</f>
        <v>94130</v>
      </c>
      <c r="M50" s="179">
        <f>H50/H$8</f>
        <v>5.345377234676504E-3</v>
      </c>
      <c r="N50" s="81"/>
    </row>
    <row r="51" spans="1:14" x14ac:dyDescent="0.25">
      <c r="A51" s="1" t="s">
        <v>99</v>
      </c>
      <c r="B51" s="161" t="s">
        <v>100</v>
      </c>
      <c r="C51" s="162">
        <v>30969</v>
      </c>
      <c r="D51" s="162">
        <v>6950</v>
      </c>
      <c r="E51" s="162">
        <v>17286</v>
      </c>
      <c r="F51" s="162">
        <v>21218</v>
      </c>
      <c r="G51" s="162">
        <v>40330</v>
      </c>
      <c r="H51" s="162">
        <v>27801</v>
      </c>
      <c r="I51" s="163">
        <f>IFERROR(H51/G51-1,"-")</f>
        <v>-0.31066203818497395</v>
      </c>
      <c r="J51" s="180">
        <f t="shared" ref="J51:J62" si="20">IFERROR(H51/E51-1,"-")</f>
        <v>0.60829573064908016</v>
      </c>
      <c r="K51" s="162">
        <f t="shared" ref="K51:K61" si="21">H51-G51</f>
        <v>-12529</v>
      </c>
      <c r="L51" s="162">
        <f t="shared" ref="L51:L62" si="22">H51-E51</f>
        <v>10515</v>
      </c>
      <c r="M51" s="163">
        <f>H51/H$8</f>
        <v>7.7041470097900116E-4</v>
      </c>
      <c r="N51" s="81"/>
    </row>
    <row r="52" spans="1:14" x14ac:dyDescent="0.25">
      <c r="A52" s="164" t="s">
        <v>106</v>
      </c>
      <c r="B52" s="165" t="s">
        <v>106</v>
      </c>
      <c r="C52" s="166">
        <v>12961</v>
      </c>
      <c r="D52" s="166">
        <v>5003</v>
      </c>
      <c r="E52" s="166">
        <v>6990</v>
      </c>
      <c r="F52" s="166">
        <v>6990</v>
      </c>
      <c r="G52" s="166">
        <v>25259</v>
      </c>
      <c r="H52" s="166">
        <v>15307</v>
      </c>
      <c r="I52" s="167">
        <f>IFERROR(H52/G52-1,"-")</f>
        <v>-0.39399817886693855</v>
      </c>
      <c r="J52" s="181">
        <f t="shared" si="20"/>
        <v>1.1898426323319029</v>
      </c>
      <c r="K52" s="166">
        <f t="shared" si="21"/>
        <v>-9952</v>
      </c>
      <c r="L52" s="166">
        <f t="shared" si="22"/>
        <v>8317</v>
      </c>
      <c r="M52" s="167">
        <f>H52/H$8</f>
        <v>4.2418394402667423E-4</v>
      </c>
      <c r="N52" s="81"/>
    </row>
    <row r="53" spans="1:14" x14ac:dyDescent="0.25">
      <c r="A53" s="164" t="s">
        <v>103</v>
      </c>
      <c r="B53" s="165" t="s">
        <v>103</v>
      </c>
      <c r="C53" s="166">
        <v>18008</v>
      </c>
      <c r="D53" s="166">
        <v>1947</v>
      </c>
      <c r="E53" s="166">
        <v>10296</v>
      </c>
      <c r="F53" s="166">
        <v>14228</v>
      </c>
      <c r="G53" s="166">
        <v>15071</v>
      </c>
      <c r="H53" s="166">
        <v>12494</v>
      </c>
      <c r="I53" s="167">
        <f>IFERROR(H53/G53-1,"-")</f>
        <v>-0.17099064428372368</v>
      </c>
      <c r="J53" s="181">
        <f t="shared" si="20"/>
        <v>0.21348096348096357</v>
      </c>
      <c r="K53" s="166">
        <f t="shared" si="21"/>
        <v>-2577</v>
      </c>
      <c r="L53" s="166">
        <f t="shared" si="22"/>
        <v>2198</v>
      </c>
      <c r="M53" s="167">
        <f>H53/H$8</f>
        <v>3.4623075695232688E-4</v>
      </c>
      <c r="N53" s="81"/>
    </row>
    <row r="54" spans="1:14" x14ac:dyDescent="0.25">
      <c r="A54" s="1"/>
      <c r="B54" s="161" t="s">
        <v>110</v>
      </c>
      <c r="C54" s="162">
        <v>203818</v>
      </c>
      <c r="D54" s="162">
        <v>58325</v>
      </c>
      <c r="E54" s="162">
        <v>81476</v>
      </c>
      <c r="F54" s="162">
        <v>147121</v>
      </c>
      <c r="G54" s="162">
        <v>141800</v>
      </c>
      <c r="H54" s="162">
        <v>165091</v>
      </c>
      <c r="I54" s="163">
        <f>IFERROR(H54/G54-1,"-")</f>
        <v>0.16425246826516227</v>
      </c>
      <c r="J54" s="180">
        <f t="shared" si="20"/>
        <v>1.0262531297560016</v>
      </c>
      <c r="K54" s="162">
        <f t="shared" si="21"/>
        <v>23291</v>
      </c>
      <c r="L54" s="162">
        <f t="shared" si="22"/>
        <v>83615</v>
      </c>
      <c r="M54" s="163">
        <f>H54/H$8</f>
        <v>4.574962533697503E-3</v>
      </c>
      <c r="N54" s="81"/>
    </row>
    <row r="55" spans="1:14" s="58" customFormat="1" x14ac:dyDescent="0.25">
      <c r="B55" s="165" t="s">
        <v>113</v>
      </c>
      <c r="C55" s="166">
        <v>67733</v>
      </c>
      <c r="D55" s="166">
        <v>19771</v>
      </c>
      <c r="E55" s="166">
        <v>20693</v>
      </c>
      <c r="F55" s="166">
        <v>65122</v>
      </c>
      <c r="G55" s="166">
        <v>55484</v>
      </c>
      <c r="H55" s="166">
        <v>69307</v>
      </c>
      <c r="I55" s="167">
        <f t="shared" ref="I55:I62" si="23">IFERROR(H55/G55-1,"-")</f>
        <v>0.24913488573282394</v>
      </c>
      <c r="J55" s="181">
        <f t="shared" si="20"/>
        <v>2.3492968636737062</v>
      </c>
      <c r="K55" s="166">
        <f t="shared" si="21"/>
        <v>13823</v>
      </c>
      <c r="L55" s="166">
        <f t="shared" si="22"/>
        <v>48614</v>
      </c>
      <c r="M55" s="167">
        <f t="shared" ref="M55:M62" si="24">H55/H$8</f>
        <v>1.9206191029370035E-3</v>
      </c>
      <c r="N55" s="168"/>
    </row>
    <row r="56" spans="1:14" s="58" customFormat="1" x14ac:dyDescent="0.25">
      <c r="B56" s="165" t="s">
        <v>116</v>
      </c>
      <c r="C56" s="166">
        <v>69940</v>
      </c>
      <c r="D56" s="166">
        <v>18669</v>
      </c>
      <c r="E56" s="166">
        <v>31230</v>
      </c>
      <c r="F56" s="166">
        <v>34084</v>
      </c>
      <c r="G56" s="166">
        <v>34465</v>
      </c>
      <c r="H56" s="166">
        <v>35877</v>
      </c>
      <c r="I56" s="167">
        <f t="shared" si="23"/>
        <v>4.0969099086029415E-2</v>
      </c>
      <c r="J56" s="181">
        <f t="shared" si="20"/>
        <v>0.14879923150816521</v>
      </c>
      <c r="K56" s="166">
        <f t="shared" si="21"/>
        <v>1412</v>
      </c>
      <c r="L56" s="166">
        <f t="shared" si="22"/>
        <v>4647</v>
      </c>
      <c r="M56" s="167">
        <f t="shared" si="24"/>
        <v>9.9421489252270157E-4</v>
      </c>
      <c r="N56" s="168"/>
    </row>
    <row r="57" spans="1:14" x14ac:dyDescent="0.25">
      <c r="A57" s="1"/>
      <c r="B57" s="165" t="s">
        <v>119</v>
      </c>
      <c r="C57" s="166">
        <v>6792</v>
      </c>
      <c r="D57" s="166">
        <v>1519</v>
      </c>
      <c r="E57" s="166">
        <v>3873</v>
      </c>
      <c r="F57" s="166">
        <v>6397</v>
      </c>
      <c r="G57" s="166">
        <v>6784</v>
      </c>
      <c r="H57" s="166">
        <v>6789</v>
      </c>
      <c r="I57" s="167">
        <f t="shared" si="23"/>
        <v>7.3702830188682178E-4</v>
      </c>
      <c r="J57" s="181">
        <f t="shared" si="20"/>
        <v>0.75290472501936478</v>
      </c>
      <c r="K57" s="166">
        <f t="shared" si="21"/>
        <v>5</v>
      </c>
      <c r="L57" s="166">
        <f t="shared" si="22"/>
        <v>2916</v>
      </c>
      <c r="M57" s="167">
        <f t="shared" si="24"/>
        <v>1.8813515358967082E-4</v>
      </c>
      <c r="N57" s="81"/>
    </row>
    <row r="58" spans="1:14" x14ac:dyDescent="0.25">
      <c r="A58" s="1"/>
      <c r="B58" s="165" t="s">
        <v>126</v>
      </c>
      <c r="C58" s="166">
        <v>3713</v>
      </c>
      <c r="D58" s="166">
        <v>1082</v>
      </c>
      <c r="E58" s="166">
        <v>2191</v>
      </c>
      <c r="F58" s="166">
        <v>3053</v>
      </c>
      <c r="G58" s="166">
        <v>2811</v>
      </c>
      <c r="H58" s="166">
        <v>4663</v>
      </c>
      <c r="I58" s="167">
        <f t="shared" si="23"/>
        <v>0.65884027036641757</v>
      </c>
      <c r="J58" s="181">
        <f t="shared" si="20"/>
        <v>1.1282519397535373</v>
      </c>
      <c r="K58" s="166">
        <f t="shared" si="21"/>
        <v>1852</v>
      </c>
      <c r="L58" s="166">
        <f t="shared" si="22"/>
        <v>2472</v>
      </c>
      <c r="M58" s="167">
        <f t="shared" si="24"/>
        <v>1.2921994714812712E-4</v>
      </c>
      <c r="N58" s="81"/>
    </row>
    <row r="59" spans="1:14" x14ac:dyDescent="0.25">
      <c r="A59" s="1"/>
      <c r="B59" s="165" t="s">
        <v>122</v>
      </c>
      <c r="C59" s="166">
        <v>4285</v>
      </c>
      <c r="D59" s="166">
        <v>1095</v>
      </c>
      <c r="E59" s="166">
        <v>1459</v>
      </c>
      <c r="F59" s="166">
        <v>2254</v>
      </c>
      <c r="G59" s="166">
        <v>2628</v>
      </c>
      <c r="H59" s="166">
        <v>2985</v>
      </c>
      <c r="I59" s="167">
        <f t="shared" si="23"/>
        <v>0.13584474885844755</v>
      </c>
      <c r="J59" s="181">
        <f t="shared" si="20"/>
        <v>1.0459218642906101</v>
      </c>
      <c r="K59" s="166">
        <f t="shared" si="21"/>
        <v>357</v>
      </c>
      <c r="L59" s="166">
        <f t="shared" si="22"/>
        <v>1526</v>
      </c>
      <c r="M59" s="167">
        <f t="shared" si="24"/>
        <v>8.2719610173098753E-5</v>
      </c>
      <c r="N59" s="81"/>
    </row>
    <row r="60" spans="1:14" x14ac:dyDescent="0.25">
      <c r="A60" s="1"/>
      <c r="B60" s="165" t="s">
        <v>131</v>
      </c>
      <c r="C60" s="166">
        <v>1783</v>
      </c>
      <c r="D60" s="166">
        <v>713</v>
      </c>
      <c r="E60" s="166">
        <v>445</v>
      </c>
      <c r="F60" s="166">
        <v>554</v>
      </c>
      <c r="G60" s="166">
        <v>804</v>
      </c>
      <c r="H60" s="166">
        <v>604</v>
      </c>
      <c r="I60" s="167">
        <f t="shared" si="23"/>
        <v>-0.24875621890547261</v>
      </c>
      <c r="J60" s="181">
        <f t="shared" si="20"/>
        <v>0.35730337078651675</v>
      </c>
      <c r="K60" s="166">
        <f t="shared" si="21"/>
        <v>-200</v>
      </c>
      <c r="L60" s="166">
        <f t="shared" si="22"/>
        <v>159</v>
      </c>
      <c r="M60" s="167">
        <f t="shared" si="24"/>
        <v>1.6737904370034053E-5</v>
      </c>
      <c r="N60" s="81"/>
    </row>
    <row r="61" spans="1:14" x14ac:dyDescent="0.25">
      <c r="A61" s="164" t="s">
        <v>147</v>
      </c>
      <c r="B61" s="165" t="s">
        <v>134</v>
      </c>
      <c r="C61" s="166">
        <v>3475</v>
      </c>
      <c r="D61" s="166">
        <v>1531</v>
      </c>
      <c r="E61" s="166">
        <v>432</v>
      </c>
      <c r="F61" s="166">
        <v>418</v>
      </c>
      <c r="G61" s="166">
        <v>635</v>
      </c>
      <c r="H61" s="166">
        <v>647</v>
      </c>
      <c r="I61" s="167">
        <f t="shared" si="23"/>
        <v>1.8897637795275646E-2</v>
      </c>
      <c r="J61" s="181">
        <f t="shared" si="20"/>
        <v>0.49768518518518512</v>
      </c>
      <c r="K61" s="166">
        <f t="shared" si="21"/>
        <v>12</v>
      </c>
      <c r="L61" s="166">
        <f t="shared" si="22"/>
        <v>215</v>
      </c>
      <c r="M61" s="167">
        <f t="shared" si="24"/>
        <v>1.7929510144721907E-5</v>
      </c>
      <c r="N61" s="81"/>
    </row>
    <row r="62" spans="1:14" x14ac:dyDescent="0.25">
      <c r="A62" s="169" t="s">
        <v>148</v>
      </c>
      <c r="B62" s="170" t="s">
        <v>148</v>
      </c>
      <c r="C62" s="171">
        <f t="shared" ref="C62:H62" si="25">C54-SUM(C55:C61)</f>
        <v>46097</v>
      </c>
      <c r="D62" s="171">
        <f t="shared" si="25"/>
        <v>13945</v>
      </c>
      <c r="E62" s="171">
        <f t="shared" si="25"/>
        <v>21153</v>
      </c>
      <c r="F62" s="171">
        <f t="shared" si="25"/>
        <v>35239</v>
      </c>
      <c r="G62" s="171">
        <f t="shared" si="25"/>
        <v>38189</v>
      </c>
      <c r="H62" s="171">
        <f t="shared" si="25"/>
        <v>44219</v>
      </c>
      <c r="I62" s="172">
        <f t="shared" si="23"/>
        <v>0.15789887140276004</v>
      </c>
      <c r="J62" s="182">
        <f t="shared" si="20"/>
        <v>1.0904363447265162</v>
      </c>
      <c r="K62" s="171">
        <f>H62-G62</f>
        <v>6030</v>
      </c>
      <c r="L62" s="171">
        <f t="shared" si="22"/>
        <v>23066</v>
      </c>
      <c r="M62" s="172">
        <f t="shared" si="24"/>
        <v>1.2253864128121453E-3</v>
      </c>
      <c r="N62" s="81"/>
    </row>
    <row r="63" spans="1:14" s="148" customFormat="1" x14ac:dyDescent="0.25">
      <c r="B63" s="157" t="s">
        <v>50</v>
      </c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</row>
    <row r="64" spans="1:14" x14ac:dyDescent="0.25">
      <c r="A64" s="1">
        <v>3</v>
      </c>
      <c r="B64" s="158" t="s">
        <v>71</v>
      </c>
      <c r="C64" s="178">
        <v>834528</v>
      </c>
      <c r="D64" s="178">
        <v>295880</v>
      </c>
      <c r="E64" s="178">
        <v>419370</v>
      </c>
      <c r="F64" s="178">
        <v>1014697</v>
      </c>
      <c r="G64" s="178">
        <v>988170</v>
      </c>
      <c r="H64" s="178">
        <v>1361415</v>
      </c>
      <c r="I64" s="179">
        <f>IFERROR(H64/G64-1,"-")</f>
        <v>0.37771334891769626</v>
      </c>
      <c r="J64" s="179">
        <f>IFERROR(H64/E64-1,"-")</f>
        <v>2.2463337863938766</v>
      </c>
      <c r="K64" s="178">
        <f>H64-G64</f>
        <v>373245</v>
      </c>
      <c r="L64" s="178">
        <f>H64-E64</f>
        <v>942045</v>
      </c>
      <c r="M64" s="179">
        <f>H64/H$8</f>
        <v>3.7727208738294549E-2</v>
      </c>
      <c r="N64" s="81"/>
    </row>
    <row r="65" spans="1:14" x14ac:dyDescent="0.25">
      <c r="A65" s="1" t="s">
        <v>99</v>
      </c>
      <c r="B65" s="161" t="s">
        <v>100</v>
      </c>
      <c r="C65" s="162">
        <v>158439</v>
      </c>
      <c r="D65" s="162">
        <v>84704</v>
      </c>
      <c r="E65" s="162">
        <v>83752</v>
      </c>
      <c r="F65" s="162">
        <v>119256</v>
      </c>
      <c r="G65" s="162">
        <v>161549</v>
      </c>
      <c r="H65" s="162">
        <v>256345</v>
      </c>
      <c r="I65" s="163">
        <f>IFERROR(H65/G65-1,"-")</f>
        <v>0.58679409962302453</v>
      </c>
      <c r="J65" s="180">
        <f t="shared" ref="J65:J76" si="26">IFERROR(H65/E65-1,"-")</f>
        <v>2.0607627280542555</v>
      </c>
      <c r="K65" s="162">
        <f t="shared" ref="K65:K75" si="27">H65-G65</f>
        <v>94796</v>
      </c>
      <c r="L65" s="162">
        <f t="shared" ref="L65:L76" si="28">H65-E65</f>
        <v>172593</v>
      </c>
      <c r="M65" s="163">
        <f>H65/H$8</f>
        <v>7.1037716816827468E-3</v>
      </c>
      <c r="N65" s="81"/>
    </row>
    <row r="66" spans="1:14" x14ac:dyDescent="0.25">
      <c r="A66" s="164" t="s">
        <v>106</v>
      </c>
      <c r="B66" s="165" t="s">
        <v>106</v>
      </c>
      <c r="C66" s="166">
        <v>67992</v>
      </c>
      <c r="D66" s="166">
        <v>23458</v>
      </c>
      <c r="E66" s="166">
        <v>59324</v>
      </c>
      <c r="F66" s="166">
        <v>72718</v>
      </c>
      <c r="G66" s="166">
        <v>83853</v>
      </c>
      <c r="H66" s="166">
        <v>124261</v>
      </c>
      <c r="I66" s="167">
        <f>IFERROR(H66/G66-1,"-")</f>
        <v>0.48189092817191992</v>
      </c>
      <c r="J66" s="181">
        <f t="shared" si="26"/>
        <v>1.094616007012339</v>
      </c>
      <c r="K66" s="166">
        <f t="shared" si="27"/>
        <v>40408</v>
      </c>
      <c r="L66" s="166">
        <f t="shared" si="28"/>
        <v>64937</v>
      </c>
      <c r="M66" s="167">
        <f>H66/H$8</f>
        <v>3.4434912829880817E-3</v>
      </c>
      <c r="N66" s="81"/>
    </row>
    <row r="67" spans="1:14" x14ac:dyDescent="0.25">
      <c r="A67" s="164" t="s">
        <v>103</v>
      </c>
      <c r="B67" s="165" t="s">
        <v>103</v>
      </c>
      <c r="C67" s="166">
        <v>90447</v>
      </c>
      <c r="D67" s="166">
        <v>61246</v>
      </c>
      <c r="E67" s="166">
        <v>24428</v>
      </c>
      <c r="F67" s="166">
        <v>46538</v>
      </c>
      <c r="G67" s="166">
        <v>77696</v>
      </c>
      <c r="H67" s="166">
        <v>132084</v>
      </c>
      <c r="I67" s="167">
        <f>IFERROR(H67/G67-1,"-")</f>
        <v>0.70001029654036251</v>
      </c>
      <c r="J67" s="181">
        <f t="shared" si="26"/>
        <v>4.4070738496806943</v>
      </c>
      <c r="K67" s="166">
        <f t="shared" si="27"/>
        <v>54388</v>
      </c>
      <c r="L67" s="166">
        <f t="shared" si="28"/>
        <v>107656</v>
      </c>
      <c r="M67" s="167">
        <f>H67/H$8</f>
        <v>3.6602803986946651E-3</v>
      </c>
      <c r="N67" s="81"/>
    </row>
    <row r="68" spans="1:14" x14ac:dyDescent="0.25">
      <c r="A68" s="1"/>
      <c r="B68" s="161" t="s">
        <v>110</v>
      </c>
      <c r="C68" s="162">
        <v>676089</v>
      </c>
      <c r="D68" s="162">
        <v>211176</v>
      </c>
      <c r="E68" s="162">
        <v>335618</v>
      </c>
      <c r="F68" s="162">
        <v>895441</v>
      </c>
      <c r="G68" s="162">
        <v>826621</v>
      </c>
      <c r="H68" s="162">
        <v>1105070</v>
      </c>
      <c r="I68" s="163">
        <f>IFERROR(H68/G68-1,"-")</f>
        <v>0.33685207610259105</v>
      </c>
      <c r="J68" s="180">
        <f t="shared" si="26"/>
        <v>2.2926422301545211</v>
      </c>
      <c r="K68" s="162">
        <f t="shared" si="27"/>
        <v>278449</v>
      </c>
      <c r="L68" s="162">
        <f t="shared" si="28"/>
        <v>769452</v>
      </c>
      <c r="M68" s="163">
        <f>H68/H$8</f>
        <v>3.0623437056611805E-2</v>
      </c>
      <c r="N68" s="81"/>
    </row>
    <row r="69" spans="1:14" s="58" customFormat="1" x14ac:dyDescent="0.25">
      <c r="B69" s="165" t="s">
        <v>113</v>
      </c>
      <c r="C69" s="166">
        <v>286315</v>
      </c>
      <c r="D69" s="166">
        <v>94120</v>
      </c>
      <c r="E69" s="166">
        <v>85414</v>
      </c>
      <c r="F69" s="166">
        <v>399420</v>
      </c>
      <c r="G69" s="166">
        <v>314964</v>
      </c>
      <c r="H69" s="166">
        <v>454766</v>
      </c>
      <c r="I69" s="167">
        <f t="shared" ref="I69:I76" si="29">IFERROR(H69/G69-1,"-")</f>
        <v>0.44386660062737326</v>
      </c>
      <c r="J69" s="181">
        <f t="shared" si="26"/>
        <v>4.3242559767719575</v>
      </c>
      <c r="K69" s="166">
        <f t="shared" si="27"/>
        <v>139802</v>
      </c>
      <c r="L69" s="166">
        <f t="shared" si="28"/>
        <v>369352</v>
      </c>
      <c r="M69" s="167">
        <f t="shared" ref="M69:M76" si="30">H69/H$8</f>
        <v>1.2602367249574347E-2</v>
      </c>
      <c r="N69" s="168"/>
    </row>
    <row r="70" spans="1:14" s="58" customFormat="1" x14ac:dyDescent="0.25">
      <c r="B70" s="165" t="s">
        <v>116</v>
      </c>
      <c r="C70" s="166">
        <v>94492</v>
      </c>
      <c r="D70" s="166">
        <v>27344</v>
      </c>
      <c r="E70" s="166">
        <v>36140</v>
      </c>
      <c r="F70" s="166">
        <v>56705</v>
      </c>
      <c r="G70" s="166">
        <v>89781</v>
      </c>
      <c r="H70" s="166">
        <v>78559</v>
      </c>
      <c r="I70" s="167">
        <f t="shared" si="29"/>
        <v>-0.12499303861618827</v>
      </c>
      <c r="J70" s="181">
        <f t="shared" si="26"/>
        <v>1.1737410071942445</v>
      </c>
      <c r="K70" s="166">
        <f t="shared" si="27"/>
        <v>-11222</v>
      </c>
      <c r="L70" s="166">
        <f t="shared" si="28"/>
        <v>42419</v>
      </c>
      <c r="M70" s="167">
        <f t="shared" si="30"/>
        <v>2.1770083268303065E-3</v>
      </c>
      <c r="N70" s="168"/>
    </row>
    <row r="71" spans="1:14" x14ac:dyDescent="0.25">
      <c r="A71" s="1"/>
      <c r="B71" s="165" t="s">
        <v>119</v>
      </c>
      <c r="C71" s="166">
        <v>75234</v>
      </c>
      <c r="D71" s="166">
        <v>21566</v>
      </c>
      <c r="E71" s="166">
        <v>44372</v>
      </c>
      <c r="F71" s="166">
        <v>126795</v>
      </c>
      <c r="G71" s="166">
        <v>98989</v>
      </c>
      <c r="H71" s="166">
        <v>131979</v>
      </c>
      <c r="I71" s="167">
        <f t="shared" si="29"/>
        <v>0.33326935316045225</v>
      </c>
      <c r="J71" s="181">
        <f t="shared" si="26"/>
        <v>1.9743757324438835</v>
      </c>
      <c r="K71" s="166">
        <f t="shared" si="27"/>
        <v>32990</v>
      </c>
      <c r="L71" s="166">
        <f t="shared" si="28"/>
        <v>87607</v>
      </c>
      <c r="M71" s="167">
        <f t="shared" si="30"/>
        <v>3.6573706636634506E-3</v>
      </c>
      <c r="N71" s="81"/>
    </row>
    <row r="72" spans="1:14" x14ac:dyDescent="0.25">
      <c r="A72" s="1"/>
      <c r="B72" s="165" t="s">
        <v>126</v>
      </c>
      <c r="C72" s="166">
        <v>11792</v>
      </c>
      <c r="D72" s="166">
        <v>3914</v>
      </c>
      <c r="E72" s="166">
        <v>28426</v>
      </c>
      <c r="F72" s="166">
        <v>25157</v>
      </c>
      <c r="G72" s="166">
        <v>25283</v>
      </c>
      <c r="H72" s="166">
        <v>47499</v>
      </c>
      <c r="I72" s="167">
        <f t="shared" si="29"/>
        <v>0.87869319305462179</v>
      </c>
      <c r="J72" s="181">
        <f t="shared" si="26"/>
        <v>0.67097023851403637</v>
      </c>
      <c r="K72" s="166">
        <f t="shared" si="27"/>
        <v>22216</v>
      </c>
      <c r="L72" s="166">
        <f t="shared" si="28"/>
        <v>19073</v>
      </c>
      <c r="M72" s="167">
        <f t="shared" si="30"/>
        <v>1.3162809928348469E-3</v>
      </c>
      <c r="N72" s="81"/>
    </row>
    <row r="73" spans="1:14" x14ac:dyDescent="0.25">
      <c r="A73" s="1"/>
      <c r="B73" s="165" t="s">
        <v>122</v>
      </c>
      <c r="C73" s="166">
        <v>17507</v>
      </c>
      <c r="D73" s="166">
        <v>8571</v>
      </c>
      <c r="E73" s="166">
        <v>16869</v>
      </c>
      <c r="F73" s="166">
        <v>22926</v>
      </c>
      <c r="G73" s="166">
        <v>14330</v>
      </c>
      <c r="H73" s="166">
        <v>27574</v>
      </c>
      <c r="I73" s="167">
        <f t="shared" si="29"/>
        <v>0.924214933705513</v>
      </c>
      <c r="J73" s="181">
        <f t="shared" si="26"/>
        <v>0.63459600450530562</v>
      </c>
      <c r="K73" s="166">
        <f t="shared" si="27"/>
        <v>13244</v>
      </c>
      <c r="L73" s="166">
        <f t="shared" si="28"/>
        <v>10705</v>
      </c>
      <c r="M73" s="167">
        <f t="shared" si="30"/>
        <v>7.6412413095913734E-4</v>
      </c>
      <c r="N73" s="81"/>
    </row>
    <row r="74" spans="1:14" x14ac:dyDescent="0.25">
      <c r="A74" s="1"/>
      <c r="B74" s="165" t="s">
        <v>131</v>
      </c>
      <c r="C74" s="166">
        <v>15819</v>
      </c>
      <c r="D74" s="166">
        <v>5541</v>
      </c>
      <c r="E74" s="166">
        <v>14404</v>
      </c>
      <c r="F74" s="166">
        <v>20957</v>
      </c>
      <c r="G74" s="166">
        <v>26631</v>
      </c>
      <c r="H74" s="166">
        <v>24320</v>
      </c>
      <c r="I74" s="167">
        <f t="shared" si="29"/>
        <v>-8.677856633246972E-2</v>
      </c>
      <c r="J74" s="181">
        <f t="shared" si="26"/>
        <v>0.68841988336573179</v>
      </c>
      <c r="K74" s="166">
        <f t="shared" si="27"/>
        <v>-2311</v>
      </c>
      <c r="L74" s="166">
        <f t="shared" si="28"/>
        <v>9916</v>
      </c>
      <c r="M74" s="167">
        <f t="shared" si="30"/>
        <v>6.7395005675368897E-4</v>
      </c>
      <c r="N74" s="81"/>
    </row>
    <row r="75" spans="1:14" x14ac:dyDescent="0.25">
      <c r="A75" s="164" t="s">
        <v>147</v>
      </c>
      <c r="B75" s="165" t="s">
        <v>134</v>
      </c>
      <c r="C75" s="166">
        <v>12733</v>
      </c>
      <c r="D75" s="166">
        <v>5018</v>
      </c>
      <c r="E75" s="166">
        <v>1659</v>
      </c>
      <c r="F75" s="166">
        <v>6100</v>
      </c>
      <c r="G75" s="166">
        <v>7510</v>
      </c>
      <c r="H75" s="166">
        <v>21506</v>
      </c>
      <c r="I75" s="167">
        <f t="shared" si="29"/>
        <v>1.863648468708389</v>
      </c>
      <c r="J75" s="181">
        <f t="shared" si="26"/>
        <v>11.963230861965039</v>
      </c>
      <c r="K75" s="166">
        <f t="shared" si="27"/>
        <v>13996</v>
      </c>
      <c r="L75" s="166">
        <f t="shared" si="28"/>
        <v>19847</v>
      </c>
      <c r="M75" s="167">
        <f t="shared" si="30"/>
        <v>5.9596915791713966E-4</v>
      </c>
      <c r="N75" s="81"/>
    </row>
    <row r="76" spans="1:14" x14ac:dyDescent="0.25">
      <c r="A76" s="169" t="s">
        <v>148</v>
      </c>
      <c r="B76" s="170" t="s">
        <v>148</v>
      </c>
      <c r="C76" s="171">
        <f t="shared" ref="C76:H76" si="31">C68-SUM(C69:C75)</f>
        <v>162197</v>
      </c>
      <c r="D76" s="171">
        <f t="shared" si="31"/>
        <v>45102</v>
      </c>
      <c r="E76" s="171">
        <f t="shared" si="31"/>
        <v>108334</v>
      </c>
      <c r="F76" s="171">
        <f t="shared" si="31"/>
        <v>237381</v>
      </c>
      <c r="G76" s="171">
        <f t="shared" si="31"/>
        <v>249133</v>
      </c>
      <c r="H76" s="171">
        <f t="shared" si="31"/>
        <v>318867</v>
      </c>
      <c r="I76" s="172">
        <f t="shared" si="29"/>
        <v>0.27990671649279708</v>
      </c>
      <c r="J76" s="182">
        <f t="shared" si="26"/>
        <v>1.9433695792641275</v>
      </c>
      <c r="K76" s="171">
        <f>H76-G76</f>
        <v>69734</v>
      </c>
      <c r="L76" s="171">
        <f t="shared" si="28"/>
        <v>210533</v>
      </c>
      <c r="M76" s="172">
        <f t="shared" si="30"/>
        <v>8.8363664780788873E-3</v>
      </c>
      <c r="N76" s="81"/>
    </row>
    <row r="77" spans="1:14" s="148" customFormat="1" x14ac:dyDescent="0.25">
      <c r="B77" s="157" t="s">
        <v>51</v>
      </c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</row>
    <row r="78" spans="1:14" x14ac:dyDescent="0.25">
      <c r="A78" s="1">
        <v>3</v>
      </c>
      <c r="B78" s="158" t="s">
        <v>71</v>
      </c>
      <c r="C78" s="178">
        <v>5492551</v>
      </c>
      <c r="D78" s="178">
        <v>1546641</v>
      </c>
      <c r="E78" s="178">
        <v>1967362</v>
      </c>
      <c r="F78" s="178">
        <v>4352393</v>
      </c>
      <c r="G78" s="178">
        <v>5136286</v>
      </c>
      <c r="H78" s="178">
        <v>5762502</v>
      </c>
      <c r="I78" s="179">
        <f>IFERROR(H78/G78-1,"-")</f>
        <v>0.12192000211826204</v>
      </c>
      <c r="J78" s="179">
        <f>IFERROR(H78/E78-1,"-")</f>
        <v>1.9290501697196549</v>
      </c>
      <c r="K78" s="178">
        <f>H78-G78</f>
        <v>626216</v>
      </c>
      <c r="L78" s="178">
        <f>H78-E78</f>
        <v>3795140</v>
      </c>
      <c r="M78" s="179">
        <f>H78/H$8</f>
        <v>0.15968908511279795</v>
      </c>
      <c r="N78" s="81"/>
    </row>
    <row r="79" spans="1:14" x14ac:dyDescent="0.25">
      <c r="A79" s="1" t="s">
        <v>99</v>
      </c>
      <c r="B79" s="161" t="s">
        <v>100</v>
      </c>
      <c r="C79" s="162">
        <v>1871426</v>
      </c>
      <c r="D79" s="162">
        <v>472177</v>
      </c>
      <c r="E79" s="162">
        <v>765462</v>
      </c>
      <c r="F79" s="162">
        <v>1656388</v>
      </c>
      <c r="G79" s="162">
        <v>1646973</v>
      </c>
      <c r="H79" s="162">
        <v>1680920</v>
      </c>
      <c r="I79" s="163">
        <f>IFERROR(H79/G79-1,"-")</f>
        <v>2.061175259096526E-2</v>
      </c>
      <c r="J79" s="180">
        <f t="shared" ref="J79:J90" si="32">IFERROR(H79/E79-1,"-")</f>
        <v>1.1959548612471944</v>
      </c>
      <c r="K79" s="162">
        <f t="shared" ref="K79:K89" si="33">H79-G79</f>
        <v>33947</v>
      </c>
      <c r="L79" s="162">
        <f t="shared" ref="L79:L90" si="34">H79-E79</f>
        <v>915458</v>
      </c>
      <c r="M79" s="163">
        <f>H79/H$8</f>
        <v>4.6581255320658342E-2</v>
      </c>
      <c r="N79" s="81"/>
    </row>
    <row r="80" spans="1:14" x14ac:dyDescent="0.25">
      <c r="A80" s="164" t="s">
        <v>106</v>
      </c>
      <c r="B80" s="165" t="s">
        <v>106</v>
      </c>
      <c r="C80" s="166">
        <v>208038</v>
      </c>
      <c r="D80" s="166">
        <v>71537</v>
      </c>
      <c r="E80" s="166">
        <v>181910</v>
      </c>
      <c r="F80" s="166">
        <v>247663</v>
      </c>
      <c r="G80" s="166">
        <v>256845</v>
      </c>
      <c r="H80" s="166">
        <v>287499</v>
      </c>
      <c r="I80" s="167">
        <f>IFERROR(H80/G80-1,"-")</f>
        <v>0.11934824505051678</v>
      </c>
      <c r="J80" s="181">
        <f t="shared" si="32"/>
        <v>0.58044637458083659</v>
      </c>
      <c r="K80" s="166">
        <f t="shared" si="33"/>
        <v>30654</v>
      </c>
      <c r="L80" s="166">
        <f t="shared" si="34"/>
        <v>105589</v>
      </c>
      <c r="M80" s="167">
        <f>H80/H$8</f>
        <v>7.9671039213251981E-3</v>
      </c>
      <c r="N80" s="81"/>
    </row>
    <row r="81" spans="1:14" x14ac:dyDescent="0.25">
      <c r="A81" s="164" t="s">
        <v>103</v>
      </c>
      <c r="B81" s="165" t="s">
        <v>103</v>
      </c>
      <c r="C81" s="166">
        <v>1663388</v>
      </c>
      <c r="D81" s="166">
        <v>400640</v>
      </c>
      <c r="E81" s="166">
        <v>583552</v>
      </c>
      <c r="F81" s="166">
        <v>1408725</v>
      </c>
      <c r="G81" s="166">
        <v>1390128</v>
      </c>
      <c r="H81" s="166">
        <v>1393421</v>
      </c>
      <c r="I81" s="167">
        <f>IFERROR(H81/G81-1,"-")</f>
        <v>2.368846609808628E-3</v>
      </c>
      <c r="J81" s="181">
        <f t="shared" si="32"/>
        <v>1.3878266204211451</v>
      </c>
      <c r="K81" s="166">
        <f t="shared" si="33"/>
        <v>3293</v>
      </c>
      <c r="L81" s="166">
        <f t="shared" si="34"/>
        <v>809869</v>
      </c>
      <c r="M81" s="167">
        <f>H81/H$8</f>
        <v>3.8614151399333142E-2</v>
      </c>
      <c r="N81" s="81"/>
    </row>
    <row r="82" spans="1:14" x14ac:dyDescent="0.25">
      <c r="A82" s="1"/>
      <c r="B82" s="161" t="s">
        <v>110</v>
      </c>
      <c r="C82" s="162">
        <v>3621125</v>
      </c>
      <c r="D82" s="162">
        <v>1074464</v>
      </c>
      <c r="E82" s="162">
        <v>1201900</v>
      </c>
      <c r="F82" s="162">
        <v>2696005</v>
      </c>
      <c r="G82" s="162">
        <v>3489313</v>
      </c>
      <c r="H82" s="162">
        <v>4081582</v>
      </c>
      <c r="I82" s="163">
        <f>IFERROR(H82/G82-1,"-")</f>
        <v>0.16973799713582594</v>
      </c>
      <c r="J82" s="180">
        <f t="shared" si="32"/>
        <v>2.3959414260753809</v>
      </c>
      <c r="K82" s="162">
        <f t="shared" si="33"/>
        <v>592269</v>
      </c>
      <c r="L82" s="162">
        <f t="shared" si="34"/>
        <v>2879682</v>
      </c>
      <c r="M82" s="163">
        <f>H82/H$8</f>
        <v>0.11310782979213961</v>
      </c>
      <c r="N82" s="81"/>
    </row>
    <row r="83" spans="1:14" s="58" customFormat="1" x14ac:dyDescent="0.25">
      <c r="B83" s="165" t="s">
        <v>113</v>
      </c>
      <c r="C83" s="166">
        <v>574884</v>
      </c>
      <c r="D83" s="166">
        <v>163077</v>
      </c>
      <c r="E83" s="166">
        <v>114301</v>
      </c>
      <c r="F83" s="166">
        <v>504044</v>
      </c>
      <c r="G83" s="166">
        <v>669954</v>
      </c>
      <c r="H83" s="166">
        <v>788206</v>
      </c>
      <c r="I83" s="167">
        <f t="shared" ref="I83:I90" si="35">IFERROR(H83/G83-1,"-")</f>
        <v>0.17650764082310122</v>
      </c>
      <c r="J83" s="181">
        <f t="shared" si="32"/>
        <v>5.8958801760264565</v>
      </c>
      <c r="K83" s="166">
        <f t="shared" si="33"/>
        <v>118252</v>
      </c>
      <c r="L83" s="166">
        <f t="shared" si="34"/>
        <v>673905</v>
      </c>
      <c r="M83" s="167">
        <f t="shared" ref="M83:M90" si="36">H83/H$8</f>
        <v>2.1842577238223609E-2</v>
      </c>
      <c r="N83" s="168"/>
    </row>
    <row r="84" spans="1:14" s="58" customFormat="1" x14ac:dyDescent="0.25">
      <c r="B84" s="165" t="s">
        <v>116</v>
      </c>
      <c r="C84" s="166">
        <v>1562789</v>
      </c>
      <c r="D84" s="166">
        <v>445011</v>
      </c>
      <c r="E84" s="166">
        <v>478237</v>
      </c>
      <c r="F84" s="166">
        <v>1014024</v>
      </c>
      <c r="G84" s="166">
        <v>1213964</v>
      </c>
      <c r="H84" s="166">
        <v>1379633</v>
      </c>
      <c r="I84" s="167">
        <f t="shared" si="35"/>
        <v>0.13646945049441328</v>
      </c>
      <c r="J84" s="181">
        <f t="shared" si="32"/>
        <v>1.8848311611188593</v>
      </c>
      <c r="K84" s="166">
        <f t="shared" si="33"/>
        <v>165669</v>
      </c>
      <c r="L84" s="166">
        <f t="shared" si="34"/>
        <v>901396</v>
      </c>
      <c r="M84" s="167">
        <f t="shared" si="36"/>
        <v>3.8232061622091376E-2</v>
      </c>
      <c r="N84" s="168"/>
    </row>
    <row r="85" spans="1:14" x14ac:dyDescent="0.25">
      <c r="A85" s="1"/>
      <c r="B85" s="165" t="s">
        <v>119</v>
      </c>
      <c r="C85" s="166">
        <v>173660</v>
      </c>
      <c r="D85" s="166">
        <v>48969</v>
      </c>
      <c r="E85" s="166">
        <v>105849</v>
      </c>
      <c r="F85" s="166">
        <v>179405</v>
      </c>
      <c r="G85" s="166">
        <v>274030</v>
      </c>
      <c r="H85" s="166">
        <v>384632</v>
      </c>
      <c r="I85" s="167">
        <f t="shared" si="35"/>
        <v>0.40361274313031426</v>
      </c>
      <c r="J85" s="181">
        <f t="shared" si="32"/>
        <v>2.6337801963173955</v>
      </c>
      <c r="K85" s="166">
        <f t="shared" si="33"/>
        <v>110602</v>
      </c>
      <c r="L85" s="166">
        <f t="shared" si="34"/>
        <v>278783</v>
      </c>
      <c r="M85" s="167">
        <f t="shared" si="36"/>
        <v>1.0658830519296255E-2</v>
      </c>
      <c r="N85" s="81"/>
    </row>
    <row r="86" spans="1:14" x14ac:dyDescent="0.25">
      <c r="A86" s="1"/>
      <c r="B86" s="165" t="s">
        <v>126</v>
      </c>
      <c r="C86" s="166">
        <v>75235</v>
      </c>
      <c r="D86" s="166">
        <v>15102</v>
      </c>
      <c r="E86" s="166">
        <v>38224</v>
      </c>
      <c r="F86" s="166">
        <v>75513</v>
      </c>
      <c r="G86" s="166">
        <v>91057</v>
      </c>
      <c r="H86" s="166">
        <v>134723</v>
      </c>
      <c r="I86" s="167">
        <f t="shared" si="35"/>
        <v>0.47954577901753836</v>
      </c>
      <c r="J86" s="181">
        <f t="shared" si="32"/>
        <v>2.5245657178735872</v>
      </c>
      <c r="K86" s="166">
        <f t="shared" si="33"/>
        <v>43666</v>
      </c>
      <c r="L86" s="166">
        <f t="shared" si="34"/>
        <v>96499</v>
      </c>
      <c r="M86" s="167">
        <f t="shared" si="36"/>
        <v>3.7334117391458568E-3</v>
      </c>
      <c r="N86" s="81"/>
    </row>
    <row r="87" spans="1:14" x14ac:dyDescent="0.25">
      <c r="A87" s="1"/>
      <c r="B87" s="165" t="s">
        <v>122</v>
      </c>
      <c r="C87" s="166">
        <v>46816</v>
      </c>
      <c r="D87" s="166">
        <v>14962</v>
      </c>
      <c r="E87" s="166">
        <v>33300</v>
      </c>
      <c r="F87" s="166">
        <v>33738</v>
      </c>
      <c r="G87" s="166">
        <v>46238</v>
      </c>
      <c r="H87" s="166">
        <v>58968</v>
      </c>
      <c r="I87" s="167">
        <f t="shared" si="35"/>
        <v>0.2753146762403218</v>
      </c>
      <c r="J87" s="181">
        <f t="shared" si="32"/>
        <v>0.77081081081081071</v>
      </c>
      <c r="K87" s="166">
        <f t="shared" si="33"/>
        <v>12730</v>
      </c>
      <c r="L87" s="166">
        <f t="shared" si="34"/>
        <v>25668</v>
      </c>
      <c r="M87" s="167">
        <f t="shared" si="36"/>
        <v>1.6341071935300794E-3</v>
      </c>
      <c r="N87" s="81"/>
    </row>
    <row r="88" spans="1:14" x14ac:dyDescent="0.25">
      <c r="A88" s="1"/>
      <c r="B88" s="165" t="s">
        <v>131</v>
      </c>
      <c r="C88" s="166">
        <v>74813</v>
      </c>
      <c r="D88" s="166">
        <v>30460</v>
      </c>
      <c r="E88" s="166">
        <v>20871</v>
      </c>
      <c r="F88" s="166">
        <v>63463</v>
      </c>
      <c r="G88" s="166">
        <v>74920</v>
      </c>
      <c r="H88" s="166">
        <v>68668</v>
      </c>
      <c r="I88" s="167">
        <f t="shared" si="35"/>
        <v>-8.3449012279765089E-2</v>
      </c>
      <c r="J88" s="181">
        <f t="shared" si="32"/>
        <v>2.2901154712280198</v>
      </c>
      <c r="K88" s="166">
        <f t="shared" si="33"/>
        <v>-6252</v>
      </c>
      <c r="L88" s="166">
        <f t="shared" si="34"/>
        <v>47797</v>
      </c>
      <c r="M88" s="167">
        <f t="shared" si="36"/>
        <v>1.9029112868898979E-3</v>
      </c>
      <c r="N88" s="81"/>
    </row>
    <row r="89" spans="1:14" x14ac:dyDescent="0.25">
      <c r="A89" s="164" t="s">
        <v>147</v>
      </c>
      <c r="B89" s="165" t="s">
        <v>134</v>
      </c>
      <c r="C89" s="166">
        <v>112745</v>
      </c>
      <c r="D89" s="166">
        <v>50030</v>
      </c>
      <c r="E89" s="166">
        <v>22441</v>
      </c>
      <c r="F89" s="166">
        <v>59972</v>
      </c>
      <c r="G89" s="166">
        <v>81787</v>
      </c>
      <c r="H89" s="166">
        <v>80097</v>
      </c>
      <c r="I89" s="167">
        <f t="shared" si="35"/>
        <v>-2.066343061855791E-2</v>
      </c>
      <c r="J89" s="181">
        <f t="shared" si="32"/>
        <v>2.569225970322178</v>
      </c>
      <c r="K89" s="166">
        <f t="shared" si="33"/>
        <v>-1690</v>
      </c>
      <c r="L89" s="166">
        <f t="shared" si="34"/>
        <v>57656</v>
      </c>
      <c r="M89" s="167">
        <f t="shared" si="36"/>
        <v>2.2196290170970489E-3</v>
      </c>
      <c r="N89" s="81"/>
    </row>
    <row r="90" spans="1:14" x14ac:dyDescent="0.25">
      <c r="A90" s="169" t="s">
        <v>148</v>
      </c>
      <c r="B90" s="170" t="s">
        <v>148</v>
      </c>
      <c r="C90" s="171">
        <f t="shared" ref="C90:H90" si="37">C82-SUM(C83:C89)</f>
        <v>1000183</v>
      </c>
      <c r="D90" s="171">
        <f t="shared" si="37"/>
        <v>306853</v>
      </c>
      <c r="E90" s="171">
        <f t="shared" si="37"/>
        <v>388677</v>
      </c>
      <c r="F90" s="171">
        <f t="shared" si="37"/>
        <v>765846</v>
      </c>
      <c r="G90" s="171">
        <f t="shared" si="37"/>
        <v>1037363</v>
      </c>
      <c r="H90" s="171">
        <f t="shared" si="37"/>
        <v>1186655</v>
      </c>
      <c r="I90" s="172">
        <f t="shared" si="35"/>
        <v>0.14391490731788203</v>
      </c>
      <c r="J90" s="182">
        <f t="shared" si="32"/>
        <v>2.053062054096332</v>
      </c>
      <c r="K90" s="171">
        <f>H90-G90</f>
        <v>149292</v>
      </c>
      <c r="L90" s="171">
        <f t="shared" si="34"/>
        <v>797978</v>
      </c>
      <c r="M90" s="172">
        <f t="shared" si="36"/>
        <v>3.2884301175865494E-2</v>
      </c>
      <c r="N90" s="81"/>
    </row>
    <row r="91" spans="1:14" s="148" customFormat="1" x14ac:dyDescent="0.25">
      <c r="B91" s="157" t="s">
        <v>52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</row>
    <row r="92" spans="1:14" x14ac:dyDescent="0.25">
      <c r="A92" s="1">
        <v>3</v>
      </c>
      <c r="B92" s="158" t="s">
        <v>71</v>
      </c>
      <c r="C92" s="178">
        <v>136126</v>
      </c>
      <c r="D92" s="178">
        <v>59047</v>
      </c>
      <c r="E92" s="178">
        <v>83402</v>
      </c>
      <c r="F92" s="178">
        <v>137757</v>
      </c>
      <c r="G92" s="178">
        <v>148334</v>
      </c>
      <c r="H92" s="178">
        <v>152300</v>
      </c>
      <c r="I92" s="179">
        <f>IFERROR(H92/G92-1,"-")</f>
        <v>2.6736958485579887E-2</v>
      </c>
      <c r="J92" s="179">
        <f>IFERROR(H92/E92-1,"-")</f>
        <v>0.82609529747488075</v>
      </c>
      <c r="K92" s="178">
        <f>H92-G92</f>
        <v>3966</v>
      </c>
      <c r="L92" s="178">
        <f>H92-E92</f>
        <v>68898</v>
      </c>
      <c r="M92" s="179">
        <f>H92/H$8</f>
        <v>4.2205013833711688E-3</v>
      </c>
      <c r="N92" s="81"/>
    </row>
    <row r="93" spans="1:14" x14ac:dyDescent="0.25">
      <c r="A93" s="1" t="s">
        <v>99</v>
      </c>
      <c r="B93" s="161" t="s">
        <v>100</v>
      </c>
      <c r="C93" s="162">
        <v>72932</v>
      </c>
      <c r="D93" s="162">
        <v>31800</v>
      </c>
      <c r="E93" s="162">
        <v>42063</v>
      </c>
      <c r="F93" s="162">
        <v>70951</v>
      </c>
      <c r="G93" s="162">
        <v>72432</v>
      </c>
      <c r="H93" s="162">
        <v>71061</v>
      </c>
      <c r="I93" s="163">
        <f>IFERROR(H93/G93-1,"-")</f>
        <v>-1.8928098078197508E-2</v>
      </c>
      <c r="J93" s="180">
        <f t="shared" ref="J93:J104" si="38">IFERROR(H93/E93-1,"-")</f>
        <v>0.68939447970900791</v>
      </c>
      <c r="K93" s="162">
        <f t="shared" ref="K93:K103" si="39">H93-G93</f>
        <v>-1371</v>
      </c>
      <c r="L93" s="162">
        <f t="shared" ref="L93:L104" si="40">H93-E93</f>
        <v>28998</v>
      </c>
      <c r="M93" s="163">
        <f>H93/H$8</f>
        <v>1.969225533839387E-3</v>
      </c>
      <c r="N93" s="81"/>
    </row>
    <row r="94" spans="1:14" x14ac:dyDescent="0.25">
      <c r="A94" s="164" t="s">
        <v>106</v>
      </c>
      <c r="B94" s="165" t="s">
        <v>106</v>
      </c>
      <c r="C94" s="166">
        <v>33003</v>
      </c>
      <c r="D94" s="166">
        <v>15549</v>
      </c>
      <c r="E94" s="166">
        <v>20037</v>
      </c>
      <c r="F94" s="166">
        <v>30228</v>
      </c>
      <c r="G94" s="166">
        <v>19606</v>
      </c>
      <c r="H94" s="166">
        <v>21646</v>
      </c>
      <c r="I94" s="167">
        <f>IFERROR(H94/G94-1,"-")</f>
        <v>0.10404978067938386</v>
      </c>
      <c r="J94" s="181">
        <f t="shared" si="38"/>
        <v>8.0301442331686346E-2</v>
      </c>
      <c r="K94" s="166">
        <f t="shared" si="39"/>
        <v>2040</v>
      </c>
      <c r="L94" s="166">
        <f t="shared" si="40"/>
        <v>1609</v>
      </c>
      <c r="M94" s="167">
        <f>H94/H$8</f>
        <v>5.9984880462542569E-4</v>
      </c>
      <c r="N94" s="81"/>
    </row>
    <row r="95" spans="1:14" x14ac:dyDescent="0.25">
      <c r="A95" s="164" t="s">
        <v>103</v>
      </c>
      <c r="B95" s="165" t="s">
        <v>103</v>
      </c>
      <c r="C95" s="166">
        <v>39929</v>
      </c>
      <c r="D95" s="166">
        <v>16251</v>
      </c>
      <c r="E95" s="166">
        <v>22026</v>
      </c>
      <c r="F95" s="166">
        <v>40723</v>
      </c>
      <c r="G95" s="166">
        <v>52826</v>
      </c>
      <c r="H95" s="166">
        <v>49415</v>
      </c>
      <c r="I95" s="167">
        <f>IFERROR(H95/G95-1,"-")</f>
        <v>-6.4570476659220888E-2</v>
      </c>
      <c r="J95" s="181">
        <f t="shared" si="38"/>
        <v>1.2434849723054571</v>
      </c>
      <c r="K95" s="166">
        <f t="shared" si="39"/>
        <v>-3411</v>
      </c>
      <c r="L95" s="166">
        <f t="shared" si="40"/>
        <v>27389</v>
      </c>
      <c r="M95" s="167">
        <f>H95/H$8</f>
        <v>1.3693767292139614E-3</v>
      </c>
      <c r="N95" s="81"/>
    </row>
    <row r="96" spans="1:14" x14ac:dyDescent="0.25">
      <c r="A96" s="1"/>
      <c r="B96" s="161" t="s">
        <v>110</v>
      </c>
      <c r="C96" s="162">
        <v>63194</v>
      </c>
      <c r="D96" s="162">
        <v>27247</v>
      </c>
      <c r="E96" s="162">
        <v>41339</v>
      </c>
      <c r="F96" s="162">
        <v>66806</v>
      </c>
      <c r="G96" s="162">
        <v>75902</v>
      </c>
      <c r="H96" s="162">
        <v>81239</v>
      </c>
      <c r="I96" s="163">
        <f>IFERROR(H96/G96-1,"-")</f>
        <v>7.0314352717978368E-2</v>
      </c>
      <c r="J96" s="180">
        <f t="shared" si="38"/>
        <v>0.96519025617455667</v>
      </c>
      <c r="K96" s="162">
        <f t="shared" si="39"/>
        <v>5337</v>
      </c>
      <c r="L96" s="162">
        <f t="shared" si="40"/>
        <v>39900</v>
      </c>
      <c r="M96" s="163">
        <f>H96/H$8</f>
        <v>2.2512758495317822E-3</v>
      </c>
      <c r="N96" s="81"/>
    </row>
    <row r="97" spans="1:14" s="58" customFormat="1" x14ac:dyDescent="0.25">
      <c r="B97" s="165" t="s">
        <v>113</v>
      </c>
      <c r="C97" s="166">
        <v>8082</v>
      </c>
      <c r="D97" s="166">
        <v>5019</v>
      </c>
      <c r="E97" s="166">
        <v>3494</v>
      </c>
      <c r="F97" s="166">
        <v>9249</v>
      </c>
      <c r="G97" s="166">
        <v>11177</v>
      </c>
      <c r="H97" s="166">
        <v>12296</v>
      </c>
      <c r="I97" s="167">
        <f t="shared" ref="I97:I104" si="41">IFERROR(H97/G97-1,"-")</f>
        <v>0.10011631028003931</v>
      </c>
      <c r="J97" s="181">
        <f t="shared" si="38"/>
        <v>2.5191757298225528</v>
      </c>
      <c r="K97" s="166">
        <f t="shared" si="39"/>
        <v>1119</v>
      </c>
      <c r="L97" s="166">
        <f t="shared" si="40"/>
        <v>8802</v>
      </c>
      <c r="M97" s="167">
        <f t="shared" ref="M97:M104" si="42">H97/H$8</f>
        <v>3.4074382803632236E-4</v>
      </c>
      <c r="N97" s="168"/>
    </row>
    <row r="98" spans="1:14" s="58" customFormat="1" x14ac:dyDescent="0.25">
      <c r="B98" s="165" t="s">
        <v>116</v>
      </c>
      <c r="C98" s="166">
        <v>21366</v>
      </c>
      <c r="D98" s="166">
        <v>7473</v>
      </c>
      <c r="E98" s="166">
        <v>15393</v>
      </c>
      <c r="F98" s="166">
        <v>21050</v>
      </c>
      <c r="G98" s="166">
        <v>22639</v>
      </c>
      <c r="H98" s="166">
        <v>25055</v>
      </c>
      <c r="I98" s="167">
        <f t="shared" si="41"/>
        <v>0.10671849463315519</v>
      </c>
      <c r="J98" s="181">
        <f t="shared" si="38"/>
        <v>0.6276879100890016</v>
      </c>
      <c r="K98" s="166">
        <f t="shared" si="39"/>
        <v>2416</v>
      </c>
      <c r="L98" s="166">
        <f t="shared" si="40"/>
        <v>9662</v>
      </c>
      <c r="M98" s="167">
        <f t="shared" si="42"/>
        <v>6.9431820197219068E-4</v>
      </c>
      <c r="N98" s="168"/>
    </row>
    <row r="99" spans="1:14" x14ac:dyDescent="0.25">
      <c r="A99" s="1"/>
      <c r="B99" s="165" t="s">
        <v>119</v>
      </c>
      <c r="C99" s="166">
        <v>8657</v>
      </c>
      <c r="D99" s="166">
        <v>4658</v>
      </c>
      <c r="E99" s="166">
        <v>7148</v>
      </c>
      <c r="F99" s="166">
        <v>7881</v>
      </c>
      <c r="G99" s="166">
        <v>8902</v>
      </c>
      <c r="H99" s="166">
        <v>9750</v>
      </c>
      <c r="I99" s="167">
        <f t="shared" si="41"/>
        <v>9.5259492248932931E-2</v>
      </c>
      <c r="J99" s="181">
        <f t="shared" si="38"/>
        <v>0.36401790710688298</v>
      </c>
      <c r="K99" s="166">
        <f t="shared" si="39"/>
        <v>848</v>
      </c>
      <c r="L99" s="166">
        <f t="shared" si="40"/>
        <v>2602</v>
      </c>
      <c r="M99" s="167">
        <f t="shared" si="42"/>
        <v>2.7018968146992053E-4</v>
      </c>
      <c r="N99" s="81"/>
    </row>
    <row r="100" spans="1:14" x14ac:dyDescent="0.25">
      <c r="A100" s="1"/>
      <c r="B100" s="165" t="s">
        <v>126</v>
      </c>
      <c r="C100" s="166">
        <v>2390</v>
      </c>
      <c r="D100" s="166">
        <v>940</v>
      </c>
      <c r="E100" s="166">
        <v>1385</v>
      </c>
      <c r="F100" s="166">
        <v>4981</v>
      </c>
      <c r="G100" s="166">
        <v>3623</v>
      </c>
      <c r="H100" s="166">
        <v>3800</v>
      </c>
      <c r="I100" s="167">
        <f t="shared" si="41"/>
        <v>4.8854540436102711E-2</v>
      </c>
      <c r="J100" s="181">
        <f t="shared" si="38"/>
        <v>1.743682310469314</v>
      </c>
      <c r="K100" s="166">
        <f t="shared" si="39"/>
        <v>177</v>
      </c>
      <c r="L100" s="166">
        <f t="shared" si="40"/>
        <v>2415</v>
      </c>
      <c r="M100" s="167">
        <f t="shared" si="42"/>
        <v>1.053046963677639E-4</v>
      </c>
      <c r="N100" s="81"/>
    </row>
    <row r="101" spans="1:14" x14ac:dyDescent="0.25">
      <c r="A101" s="1"/>
      <c r="B101" s="165" t="s">
        <v>122</v>
      </c>
      <c r="C101" s="166">
        <v>1298</v>
      </c>
      <c r="D101" s="166">
        <v>788</v>
      </c>
      <c r="E101" s="166">
        <v>1315</v>
      </c>
      <c r="F101" s="166">
        <v>1892</v>
      </c>
      <c r="G101" s="166">
        <v>1812</v>
      </c>
      <c r="H101" s="166">
        <v>2358</v>
      </c>
      <c r="I101" s="167">
        <f t="shared" si="41"/>
        <v>0.30132450331125837</v>
      </c>
      <c r="J101" s="181">
        <f t="shared" si="38"/>
        <v>0.79315589353612159</v>
      </c>
      <c r="K101" s="166">
        <f t="shared" si="39"/>
        <v>546</v>
      </c>
      <c r="L101" s="166">
        <f t="shared" si="40"/>
        <v>1043</v>
      </c>
      <c r="M101" s="167">
        <f t="shared" si="42"/>
        <v>6.5344335272417701E-5</v>
      </c>
      <c r="N101" s="81"/>
    </row>
    <row r="102" spans="1:14" x14ac:dyDescent="0.25">
      <c r="A102" s="1"/>
      <c r="B102" s="165" t="s">
        <v>131</v>
      </c>
      <c r="C102" s="166">
        <v>444</v>
      </c>
      <c r="D102" s="166">
        <v>599</v>
      </c>
      <c r="E102" s="166">
        <v>275</v>
      </c>
      <c r="F102" s="166">
        <v>817</v>
      </c>
      <c r="G102" s="166">
        <v>420</v>
      </c>
      <c r="H102" s="166">
        <v>782</v>
      </c>
      <c r="I102" s="167">
        <f t="shared" si="41"/>
        <v>0.86190476190476195</v>
      </c>
      <c r="J102" s="181">
        <f t="shared" si="38"/>
        <v>1.8436363636363637</v>
      </c>
      <c r="K102" s="166">
        <f t="shared" si="39"/>
        <v>362</v>
      </c>
      <c r="L102" s="166">
        <f t="shared" si="40"/>
        <v>507</v>
      </c>
      <c r="M102" s="167">
        <f t="shared" si="42"/>
        <v>2.167059804199773E-5</v>
      </c>
      <c r="N102" s="81"/>
    </row>
    <row r="103" spans="1:14" x14ac:dyDescent="0.25">
      <c r="A103" s="164" t="s">
        <v>147</v>
      </c>
      <c r="B103" s="165" t="s">
        <v>134</v>
      </c>
      <c r="C103" s="166">
        <v>699</v>
      </c>
      <c r="D103" s="166">
        <v>259</v>
      </c>
      <c r="E103" s="166">
        <v>259</v>
      </c>
      <c r="F103" s="166">
        <v>385</v>
      </c>
      <c r="G103" s="166">
        <v>950</v>
      </c>
      <c r="H103" s="166">
        <v>1244</v>
      </c>
      <c r="I103" s="167">
        <f t="shared" si="41"/>
        <v>0.30947368421052635</v>
      </c>
      <c r="J103" s="181">
        <f t="shared" si="38"/>
        <v>3.8030888030888033</v>
      </c>
      <c r="K103" s="166">
        <f t="shared" si="39"/>
        <v>294</v>
      </c>
      <c r="L103" s="166">
        <f t="shared" si="40"/>
        <v>985</v>
      </c>
      <c r="M103" s="167">
        <f t="shared" si="42"/>
        <v>3.4473432179341658E-5</v>
      </c>
      <c r="N103" s="81"/>
    </row>
    <row r="104" spans="1:14" x14ac:dyDescent="0.25">
      <c r="A104" s="169" t="s">
        <v>148</v>
      </c>
      <c r="B104" s="170" t="s">
        <v>148</v>
      </c>
      <c r="C104" s="171">
        <f t="shared" ref="C104:H104" si="43">C96-SUM(C97:C103)</f>
        <v>20258</v>
      </c>
      <c r="D104" s="171">
        <f t="shared" si="43"/>
        <v>7511</v>
      </c>
      <c r="E104" s="171">
        <f t="shared" si="43"/>
        <v>12070</v>
      </c>
      <c r="F104" s="171">
        <f t="shared" si="43"/>
        <v>20551</v>
      </c>
      <c r="G104" s="171">
        <f t="shared" si="43"/>
        <v>26379</v>
      </c>
      <c r="H104" s="171">
        <f t="shared" si="43"/>
        <v>25954</v>
      </c>
      <c r="I104" s="172">
        <f t="shared" si="41"/>
        <v>-1.6111300655824667E-2</v>
      </c>
      <c r="J104" s="182">
        <f t="shared" si="38"/>
        <v>1.1502899751449878</v>
      </c>
      <c r="K104" s="171">
        <f>H104-G104</f>
        <v>-425</v>
      </c>
      <c r="L104" s="171">
        <f t="shared" si="40"/>
        <v>13884</v>
      </c>
      <c r="M104" s="172">
        <f t="shared" si="42"/>
        <v>7.1923107619182745E-4</v>
      </c>
      <c r="N104" s="81"/>
    </row>
    <row r="105" spans="1:14" s="148" customFormat="1" x14ac:dyDescent="0.25">
      <c r="B105" s="157" t="s">
        <v>53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</row>
    <row r="106" spans="1:14" x14ac:dyDescent="0.25">
      <c r="A106" s="1">
        <v>3</v>
      </c>
      <c r="B106" s="158" t="s">
        <v>71</v>
      </c>
      <c r="C106" s="178">
        <v>1055815</v>
      </c>
      <c r="D106" s="178">
        <v>442013</v>
      </c>
      <c r="E106" s="178">
        <v>749212</v>
      </c>
      <c r="F106" s="178">
        <v>1316064</v>
      </c>
      <c r="G106" s="178">
        <v>1447168</v>
      </c>
      <c r="H106" s="178">
        <v>1453294</v>
      </c>
      <c r="I106" s="179">
        <f>IFERROR(H106/G106-1,"-")</f>
        <v>4.2330952591544957E-3</v>
      </c>
      <c r="J106" s="179">
        <f>IFERROR(H106/E106-1,"-")</f>
        <v>0.9397633780558774</v>
      </c>
      <c r="K106" s="178">
        <f>H106-G106</f>
        <v>6126</v>
      </c>
      <c r="L106" s="178">
        <f>H106-E106</f>
        <v>704082</v>
      </c>
      <c r="M106" s="179">
        <f>H106/H$8</f>
        <v>4.0273337737656074E-2</v>
      </c>
      <c r="N106" s="81"/>
    </row>
    <row r="107" spans="1:14" x14ac:dyDescent="0.25">
      <c r="A107" s="1" t="s">
        <v>99</v>
      </c>
      <c r="B107" s="161" t="s">
        <v>100</v>
      </c>
      <c r="C107" s="162">
        <v>162637</v>
      </c>
      <c r="D107" s="162">
        <v>125264</v>
      </c>
      <c r="E107" s="162">
        <v>199003</v>
      </c>
      <c r="F107" s="162">
        <v>220579</v>
      </c>
      <c r="G107" s="162">
        <v>219096</v>
      </c>
      <c r="H107" s="162">
        <v>207819</v>
      </c>
      <c r="I107" s="163">
        <f>IFERROR(H107/G107-1,"-")</f>
        <v>-5.1470588235294157E-2</v>
      </c>
      <c r="J107" s="180">
        <f t="shared" ref="J107:J118" si="44">IFERROR(H107/E107-1,"-")</f>
        <v>4.4300839685833981E-2</v>
      </c>
      <c r="K107" s="162">
        <f t="shared" ref="K107:K117" si="45">H107-G107</f>
        <v>-11277</v>
      </c>
      <c r="L107" s="162">
        <f t="shared" ref="L107:L118" si="46">H107-E107</f>
        <v>8816</v>
      </c>
      <c r="M107" s="163">
        <f>H107/H$8</f>
        <v>5.759030709066402E-3</v>
      </c>
      <c r="N107" s="81"/>
    </row>
    <row r="108" spans="1:14" x14ac:dyDescent="0.25">
      <c r="A108" s="164" t="s">
        <v>106</v>
      </c>
      <c r="B108" s="165" t="s">
        <v>106</v>
      </c>
      <c r="C108" s="166">
        <v>42419</v>
      </c>
      <c r="D108" s="166">
        <v>16702</v>
      </c>
      <c r="E108" s="166">
        <v>106031</v>
      </c>
      <c r="F108" s="166">
        <v>75504</v>
      </c>
      <c r="G108" s="166">
        <v>57419</v>
      </c>
      <c r="H108" s="166">
        <v>59079</v>
      </c>
      <c r="I108" s="167">
        <f>IFERROR(H108/G108-1,"-")</f>
        <v>2.8910291018652279E-2</v>
      </c>
      <c r="J108" s="181">
        <f t="shared" si="44"/>
        <v>-0.44281389404985338</v>
      </c>
      <c r="K108" s="166">
        <f t="shared" si="45"/>
        <v>1660</v>
      </c>
      <c r="L108" s="166">
        <f t="shared" si="46"/>
        <v>-46952</v>
      </c>
      <c r="M108" s="167">
        <f>H108/H$8</f>
        <v>1.6371831991345061E-3</v>
      </c>
      <c r="N108" s="81"/>
    </row>
    <row r="109" spans="1:14" x14ac:dyDescent="0.25">
      <c r="A109" s="164" t="s">
        <v>103</v>
      </c>
      <c r="B109" s="165" t="s">
        <v>103</v>
      </c>
      <c r="C109" s="166">
        <v>120218</v>
      </c>
      <c r="D109" s="166">
        <v>108562</v>
      </c>
      <c r="E109" s="166">
        <v>92972</v>
      </c>
      <c r="F109" s="166">
        <v>145075</v>
      </c>
      <c r="G109" s="166">
        <v>161677</v>
      </c>
      <c r="H109" s="166">
        <v>148740</v>
      </c>
      <c r="I109" s="167">
        <f>IFERROR(H109/G109-1,"-")</f>
        <v>-8.0017565887541164E-2</v>
      </c>
      <c r="J109" s="181">
        <f t="shared" si="44"/>
        <v>0.59983650991696424</v>
      </c>
      <c r="K109" s="166">
        <f t="shared" si="45"/>
        <v>-12937</v>
      </c>
      <c r="L109" s="166">
        <f t="shared" si="46"/>
        <v>55768</v>
      </c>
      <c r="M109" s="167">
        <f>H109/H$8</f>
        <v>4.1218475099318959E-3</v>
      </c>
      <c r="N109" s="81"/>
    </row>
    <row r="110" spans="1:14" x14ac:dyDescent="0.25">
      <c r="A110" s="1"/>
      <c r="B110" s="161" t="s">
        <v>110</v>
      </c>
      <c r="C110" s="162">
        <v>893178</v>
      </c>
      <c r="D110" s="162">
        <v>316749</v>
      </c>
      <c r="E110" s="162">
        <v>550209</v>
      </c>
      <c r="F110" s="162">
        <v>1095485</v>
      </c>
      <c r="G110" s="162">
        <v>1228072</v>
      </c>
      <c r="H110" s="162">
        <v>1245475</v>
      </c>
      <c r="I110" s="163">
        <f>IFERROR(H110/G110-1,"-")</f>
        <v>1.4170993231667151E-2</v>
      </c>
      <c r="J110" s="180">
        <f t="shared" si="44"/>
        <v>1.2636398168695897</v>
      </c>
      <c r="K110" s="162">
        <f t="shared" si="45"/>
        <v>17403</v>
      </c>
      <c r="L110" s="162">
        <f t="shared" si="46"/>
        <v>695266</v>
      </c>
      <c r="M110" s="163">
        <f>H110/H$8</f>
        <v>3.4514307028589673E-2</v>
      </c>
      <c r="N110" s="81"/>
    </row>
    <row r="111" spans="1:14" s="58" customFormat="1" x14ac:dyDescent="0.25">
      <c r="B111" s="165" t="s">
        <v>113</v>
      </c>
      <c r="C111" s="166">
        <v>476582</v>
      </c>
      <c r="D111" s="166">
        <v>181253</v>
      </c>
      <c r="E111" s="166">
        <v>251557</v>
      </c>
      <c r="F111" s="166">
        <v>673877</v>
      </c>
      <c r="G111" s="166">
        <v>775590</v>
      </c>
      <c r="H111" s="166">
        <v>761721</v>
      </c>
      <c r="I111" s="167">
        <f t="shared" ref="I111:I118" si="47">IFERROR(H111/G111-1,"-")</f>
        <v>-1.7881870575948589E-2</v>
      </c>
      <c r="J111" s="181">
        <f t="shared" si="44"/>
        <v>2.0280254574509953</v>
      </c>
      <c r="K111" s="166">
        <f t="shared" si="45"/>
        <v>-13869</v>
      </c>
      <c r="L111" s="166">
        <f t="shared" si="46"/>
        <v>510164</v>
      </c>
      <c r="M111" s="167">
        <f t="shared" ref="M111:M118" si="48">H111/H$8</f>
        <v>2.1108631216302496E-2</v>
      </c>
      <c r="N111" s="168"/>
    </row>
    <row r="112" spans="1:14" s="58" customFormat="1" x14ac:dyDescent="0.25">
      <c r="B112" s="165" t="s">
        <v>116</v>
      </c>
      <c r="C112" s="166">
        <v>91753</v>
      </c>
      <c r="D112" s="166">
        <v>22554</v>
      </c>
      <c r="E112" s="166">
        <v>57079</v>
      </c>
      <c r="F112" s="166">
        <v>45927</v>
      </c>
      <c r="G112" s="166">
        <v>60304</v>
      </c>
      <c r="H112" s="166">
        <v>60756</v>
      </c>
      <c r="I112" s="167">
        <f t="shared" si="47"/>
        <v>7.4953568585831576E-3</v>
      </c>
      <c r="J112" s="181">
        <f t="shared" si="44"/>
        <v>6.4419488778710177E-2</v>
      </c>
      <c r="K112" s="166">
        <f t="shared" si="45"/>
        <v>452</v>
      </c>
      <c r="L112" s="166">
        <f t="shared" si="46"/>
        <v>3677</v>
      </c>
      <c r="M112" s="167">
        <f t="shared" si="48"/>
        <v>1.6836558243473326E-3</v>
      </c>
      <c r="N112" s="168"/>
    </row>
    <row r="113" spans="1:14" x14ac:dyDescent="0.25">
      <c r="A113" s="1"/>
      <c r="B113" s="165" t="s">
        <v>119</v>
      </c>
      <c r="C113" s="166">
        <v>92528</v>
      </c>
      <c r="D113" s="166">
        <v>13883</v>
      </c>
      <c r="E113" s="166">
        <v>67210</v>
      </c>
      <c r="F113" s="166">
        <v>65652</v>
      </c>
      <c r="G113" s="166">
        <v>76293</v>
      </c>
      <c r="H113" s="166">
        <v>85229</v>
      </c>
      <c r="I113" s="167">
        <f t="shared" si="47"/>
        <v>0.1171273904552188</v>
      </c>
      <c r="J113" s="181">
        <f t="shared" si="44"/>
        <v>0.26809998512126176</v>
      </c>
      <c r="K113" s="166">
        <f t="shared" si="45"/>
        <v>8936</v>
      </c>
      <c r="L113" s="166">
        <f t="shared" si="46"/>
        <v>18019</v>
      </c>
      <c r="M113" s="167">
        <f t="shared" si="48"/>
        <v>2.3618457807179343E-3</v>
      </c>
      <c r="N113" s="81"/>
    </row>
    <row r="114" spans="1:14" x14ac:dyDescent="0.25">
      <c r="A114" s="1"/>
      <c r="B114" s="165" t="s">
        <v>126</v>
      </c>
      <c r="C114" s="166">
        <v>18644</v>
      </c>
      <c r="D114" s="166">
        <v>9005</v>
      </c>
      <c r="E114" s="166">
        <v>29461</v>
      </c>
      <c r="F114" s="166">
        <v>41263</v>
      </c>
      <c r="G114" s="166">
        <v>42135</v>
      </c>
      <c r="H114" s="166">
        <v>41377</v>
      </c>
      <c r="I114" s="167">
        <f t="shared" si="47"/>
        <v>-1.7989794707487849E-2</v>
      </c>
      <c r="J114" s="181">
        <f t="shared" si="44"/>
        <v>0.40446692237194926</v>
      </c>
      <c r="K114" s="166">
        <f t="shared" si="45"/>
        <v>-758</v>
      </c>
      <c r="L114" s="166">
        <f t="shared" si="46"/>
        <v>11916</v>
      </c>
      <c r="M114" s="167">
        <f t="shared" si="48"/>
        <v>1.1466295846339386E-3</v>
      </c>
      <c r="N114" s="81"/>
    </row>
    <row r="115" spans="1:14" x14ac:dyDescent="0.25">
      <c r="A115" s="1"/>
      <c r="B115" s="165" t="s">
        <v>122</v>
      </c>
      <c r="C115" s="166">
        <v>29965</v>
      </c>
      <c r="D115" s="166">
        <v>19818</v>
      </c>
      <c r="E115" s="166">
        <v>36897</v>
      </c>
      <c r="F115" s="166">
        <v>41249</v>
      </c>
      <c r="G115" s="166">
        <v>42266</v>
      </c>
      <c r="H115" s="166">
        <v>33197</v>
      </c>
      <c r="I115" s="167">
        <f t="shared" si="47"/>
        <v>-0.21456963043581134</v>
      </c>
      <c r="J115" s="181">
        <f t="shared" si="44"/>
        <v>-0.10027915548689592</v>
      </c>
      <c r="K115" s="166">
        <f t="shared" si="45"/>
        <v>-9069</v>
      </c>
      <c r="L115" s="166">
        <f t="shared" si="46"/>
        <v>-3700</v>
      </c>
      <c r="M115" s="167">
        <f t="shared" si="48"/>
        <v>9.199473698212259E-4</v>
      </c>
      <c r="N115" s="81"/>
    </row>
    <row r="116" spans="1:14" x14ac:dyDescent="0.25">
      <c r="A116" s="1"/>
      <c r="B116" s="165" t="s">
        <v>131</v>
      </c>
      <c r="C116" s="166">
        <v>5890</v>
      </c>
      <c r="D116" s="166">
        <v>2343</v>
      </c>
      <c r="E116" s="166">
        <v>2314</v>
      </c>
      <c r="F116" s="166">
        <v>11983</v>
      </c>
      <c r="G116" s="166">
        <v>11780</v>
      </c>
      <c r="H116" s="166">
        <v>11633</v>
      </c>
      <c r="I116" s="167">
        <f t="shared" si="47"/>
        <v>-1.2478777589134071E-2</v>
      </c>
      <c r="J116" s="181">
        <f t="shared" si="44"/>
        <v>4.0272255834053583</v>
      </c>
      <c r="K116" s="166">
        <f t="shared" si="45"/>
        <v>-147</v>
      </c>
      <c r="L116" s="166">
        <f t="shared" si="46"/>
        <v>9319</v>
      </c>
      <c r="M116" s="167">
        <f t="shared" si="48"/>
        <v>3.2237092969636779E-4</v>
      </c>
      <c r="N116" s="81"/>
    </row>
    <row r="117" spans="1:14" x14ac:dyDescent="0.25">
      <c r="A117" s="164" t="s">
        <v>147</v>
      </c>
      <c r="B117" s="165" t="s">
        <v>134</v>
      </c>
      <c r="C117" s="166">
        <v>13480</v>
      </c>
      <c r="D117" s="166">
        <v>7286</v>
      </c>
      <c r="E117" s="166">
        <v>3610</v>
      </c>
      <c r="F117" s="166">
        <v>7507</v>
      </c>
      <c r="G117" s="166">
        <v>7656</v>
      </c>
      <c r="H117" s="166">
        <v>10984</v>
      </c>
      <c r="I117" s="167">
        <f t="shared" si="47"/>
        <v>0.4346917450365726</v>
      </c>
      <c r="J117" s="181">
        <f t="shared" si="44"/>
        <v>2.0426592797783933</v>
      </c>
      <c r="K117" s="166">
        <f t="shared" si="45"/>
        <v>3328</v>
      </c>
      <c r="L117" s="166">
        <f t="shared" si="46"/>
        <v>7374</v>
      </c>
      <c r="M117" s="167">
        <f t="shared" si="48"/>
        <v>3.0438599602724176E-4</v>
      </c>
      <c r="N117" s="81"/>
    </row>
    <row r="118" spans="1:14" x14ac:dyDescent="0.25">
      <c r="A118" s="169" t="s">
        <v>148</v>
      </c>
      <c r="B118" s="170" t="s">
        <v>148</v>
      </c>
      <c r="C118" s="171">
        <f t="shared" ref="C118:H118" si="49">C110-SUM(C111:C117)</f>
        <v>164336</v>
      </c>
      <c r="D118" s="171">
        <f t="shared" si="49"/>
        <v>60607</v>
      </c>
      <c r="E118" s="171">
        <f t="shared" si="49"/>
        <v>102081</v>
      </c>
      <c r="F118" s="171">
        <f t="shared" si="49"/>
        <v>208027</v>
      </c>
      <c r="G118" s="171">
        <f t="shared" si="49"/>
        <v>212048</v>
      </c>
      <c r="H118" s="171">
        <f t="shared" si="49"/>
        <v>240578</v>
      </c>
      <c r="I118" s="172">
        <f t="shared" si="47"/>
        <v>0.13454500867728059</v>
      </c>
      <c r="J118" s="182">
        <f t="shared" si="44"/>
        <v>1.3567363172382714</v>
      </c>
      <c r="K118" s="171">
        <f>H118-G118</f>
        <v>28530</v>
      </c>
      <c r="L118" s="171">
        <f t="shared" si="46"/>
        <v>138497</v>
      </c>
      <c r="M118" s="172">
        <f t="shared" si="48"/>
        <v>6.6668403270431324E-3</v>
      </c>
      <c r="N118" s="81"/>
    </row>
    <row r="119" spans="1:14" s="148" customFormat="1" x14ac:dyDescent="0.25">
      <c r="B119" s="157" t="s">
        <v>54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</row>
    <row r="120" spans="1:14" x14ac:dyDescent="0.25">
      <c r="A120" s="1">
        <v>3</v>
      </c>
      <c r="B120" s="158" t="s">
        <v>71</v>
      </c>
      <c r="C120" s="178">
        <v>503437</v>
      </c>
      <c r="D120" s="178">
        <v>216673</v>
      </c>
      <c r="E120" s="178">
        <v>359169</v>
      </c>
      <c r="F120" s="178">
        <v>543499</v>
      </c>
      <c r="G120" s="178">
        <v>577841</v>
      </c>
      <c r="H120" s="178">
        <v>583363</v>
      </c>
      <c r="I120" s="179">
        <f>IFERROR(H120/G120-1,"-")</f>
        <v>9.5562620167140011E-3</v>
      </c>
      <c r="J120" s="179">
        <f>IFERROR(H120/E120-1,"-")</f>
        <v>0.62420197734214256</v>
      </c>
      <c r="K120" s="178">
        <f>H120-G120</f>
        <v>5522</v>
      </c>
      <c r="L120" s="178">
        <f>H120-E120</f>
        <v>224194</v>
      </c>
      <c r="M120" s="179">
        <f>H120/H$8</f>
        <v>1.6166016733470488E-2</v>
      </c>
      <c r="N120" s="81"/>
    </row>
    <row r="121" spans="1:14" x14ac:dyDescent="0.25">
      <c r="A121" s="1" t="s">
        <v>99</v>
      </c>
      <c r="B121" s="161" t="s">
        <v>100</v>
      </c>
      <c r="C121" s="162">
        <v>235408</v>
      </c>
      <c r="D121" s="162">
        <v>116562</v>
      </c>
      <c r="E121" s="162">
        <v>206631</v>
      </c>
      <c r="F121" s="162">
        <v>271944</v>
      </c>
      <c r="G121" s="162">
        <v>303323</v>
      </c>
      <c r="H121" s="162">
        <v>307279</v>
      </c>
      <c r="I121" s="163">
        <f>IFERROR(H121/G121-1,"-")</f>
        <v>1.3042202536569958E-2</v>
      </c>
      <c r="J121" s="180">
        <f t="shared" ref="J121:J132" si="50">IFERROR(H121/E121-1,"-")</f>
        <v>0.48709051400806258</v>
      </c>
      <c r="K121" s="162">
        <f t="shared" ref="K121:K131" si="51">H121-G121</f>
        <v>3956</v>
      </c>
      <c r="L121" s="162">
        <f t="shared" ref="L121:L132" si="52">H121-E121</f>
        <v>100648</v>
      </c>
      <c r="M121" s="163">
        <f>H121/H$8</f>
        <v>8.5152425776816119E-3</v>
      </c>
      <c r="N121" s="81"/>
    </row>
    <row r="122" spans="1:14" x14ac:dyDescent="0.25">
      <c r="A122" s="164" t="s">
        <v>106</v>
      </c>
      <c r="B122" s="165" t="s">
        <v>106</v>
      </c>
      <c r="C122" s="166">
        <v>110711</v>
      </c>
      <c r="D122" s="166">
        <v>45374</v>
      </c>
      <c r="E122" s="166">
        <v>96469</v>
      </c>
      <c r="F122" s="166">
        <v>128559</v>
      </c>
      <c r="G122" s="166">
        <v>122170</v>
      </c>
      <c r="H122" s="166">
        <v>132724</v>
      </c>
      <c r="I122" s="167">
        <f>IFERROR(H122/G122-1,"-")</f>
        <v>8.6387820250470648E-2</v>
      </c>
      <c r="J122" s="181">
        <f t="shared" si="50"/>
        <v>0.37582021167421664</v>
      </c>
      <c r="K122" s="166">
        <f t="shared" si="51"/>
        <v>10554</v>
      </c>
      <c r="L122" s="166">
        <f t="shared" si="52"/>
        <v>36255</v>
      </c>
      <c r="M122" s="167">
        <f>H122/H$8</f>
        <v>3.6780159265039727E-3</v>
      </c>
      <c r="N122" s="81"/>
    </row>
    <row r="123" spans="1:14" x14ac:dyDescent="0.25">
      <c r="A123" s="164" t="s">
        <v>103</v>
      </c>
      <c r="B123" s="165" t="s">
        <v>103</v>
      </c>
      <c r="C123" s="166">
        <v>124697</v>
      </c>
      <c r="D123" s="166">
        <v>71188</v>
      </c>
      <c r="E123" s="166">
        <v>110162</v>
      </c>
      <c r="F123" s="166">
        <v>143385</v>
      </c>
      <c r="G123" s="166">
        <v>181153</v>
      </c>
      <c r="H123" s="166">
        <v>174555</v>
      </c>
      <c r="I123" s="167">
        <f>IFERROR(H123/G123-1,"-")</f>
        <v>-3.6422250804568512E-2</v>
      </c>
      <c r="J123" s="181">
        <f t="shared" si="50"/>
        <v>0.58453005573609773</v>
      </c>
      <c r="K123" s="166">
        <f t="shared" si="51"/>
        <v>-6598</v>
      </c>
      <c r="L123" s="166">
        <f t="shared" si="52"/>
        <v>64393</v>
      </c>
      <c r="M123" s="167">
        <f>H123/H$8</f>
        <v>4.8372266511776387E-3</v>
      </c>
      <c r="N123" s="81"/>
    </row>
    <row r="124" spans="1:14" x14ac:dyDescent="0.25">
      <c r="A124" s="1"/>
      <c r="B124" s="161" t="s">
        <v>110</v>
      </c>
      <c r="C124" s="162">
        <v>268029</v>
      </c>
      <c r="D124" s="162">
        <v>100111</v>
      </c>
      <c r="E124" s="162">
        <v>152538</v>
      </c>
      <c r="F124" s="162">
        <v>271555</v>
      </c>
      <c r="G124" s="162">
        <v>274518</v>
      </c>
      <c r="H124" s="162">
        <v>276084</v>
      </c>
      <c r="I124" s="163">
        <f>IFERROR(H124/G124-1,"-")</f>
        <v>5.7045439643301776E-3</v>
      </c>
      <c r="J124" s="180">
        <f t="shared" si="50"/>
        <v>0.80993588482869838</v>
      </c>
      <c r="K124" s="162">
        <f t="shared" si="51"/>
        <v>1566</v>
      </c>
      <c r="L124" s="162">
        <f t="shared" si="52"/>
        <v>123546</v>
      </c>
      <c r="M124" s="163">
        <f>H124/H$8</f>
        <v>7.6507741557888765E-3</v>
      </c>
      <c r="N124" s="81"/>
    </row>
    <row r="125" spans="1:14" s="58" customFormat="1" x14ac:dyDescent="0.25">
      <c r="B125" s="165" t="s">
        <v>113</v>
      </c>
      <c r="C125" s="166">
        <v>33000</v>
      </c>
      <c r="D125" s="166">
        <v>11431</v>
      </c>
      <c r="E125" s="166">
        <v>11117</v>
      </c>
      <c r="F125" s="166">
        <v>33351</v>
      </c>
      <c r="G125" s="166">
        <v>40285</v>
      </c>
      <c r="H125" s="166">
        <v>36563</v>
      </c>
      <c r="I125" s="167">
        <f t="shared" ref="I125:I132" si="53">IFERROR(H125/G125-1,"-")</f>
        <v>-9.2391709072855877E-2</v>
      </c>
      <c r="J125" s="181">
        <f t="shared" si="50"/>
        <v>2.2889268687595576</v>
      </c>
      <c r="K125" s="166">
        <f t="shared" si="51"/>
        <v>-3722</v>
      </c>
      <c r="L125" s="166">
        <f t="shared" si="52"/>
        <v>25446</v>
      </c>
      <c r="M125" s="167">
        <f t="shared" ref="M125:M132" si="54">H125/H$8</f>
        <v>1.013225161393303E-3</v>
      </c>
      <c r="N125" s="168"/>
    </row>
    <row r="126" spans="1:14" s="58" customFormat="1" x14ac:dyDescent="0.25">
      <c r="B126" s="165" t="s">
        <v>116</v>
      </c>
      <c r="C126" s="166">
        <v>30865</v>
      </c>
      <c r="D126" s="166">
        <v>11548</v>
      </c>
      <c r="E126" s="166">
        <v>23428</v>
      </c>
      <c r="F126" s="166">
        <v>34791</v>
      </c>
      <c r="G126" s="166">
        <v>43431</v>
      </c>
      <c r="H126" s="166">
        <v>42207</v>
      </c>
      <c r="I126" s="167">
        <f t="shared" si="53"/>
        <v>-2.8182634523727268E-2</v>
      </c>
      <c r="J126" s="181">
        <f t="shared" si="50"/>
        <v>0.80156223322520059</v>
      </c>
      <c r="K126" s="166">
        <f t="shared" si="51"/>
        <v>-1224</v>
      </c>
      <c r="L126" s="166">
        <f t="shared" si="52"/>
        <v>18779</v>
      </c>
      <c r="M126" s="167">
        <f t="shared" si="54"/>
        <v>1.1696303472616344E-3</v>
      </c>
      <c r="N126" s="168"/>
    </row>
    <row r="127" spans="1:14" x14ac:dyDescent="0.25">
      <c r="A127" s="1"/>
      <c r="B127" s="165" t="s">
        <v>119</v>
      </c>
      <c r="C127" s="166">
        <v>20310</v>
      </c>
      <c r="D127" s="166">
        <v>7014</v>
      </c>
      <c r="E127" s="166">
        <v>18250</v>
      </c>
      <c r="F127" s="166">
        <v>23874</v>
      </c>
      <c r="G127" s="166">
        <v>26766</v>
      </c>
      <c r="H127" s="166">
        <v>26411</v>
      </c>
      <c r="I127" s="167">
        <f t="shared" si="53"/>
        <v>-1.3263094971232126E-2</v>
      </c>
      <c r="J127" s="181">
        <f t="shared" si="50"/>
        <v>0.44717808219178079</v>
      </c>
      <c r="K127" s="166">
        <f t="shared" si="51"/>
        <v>-355</v>
      </c>
      <c r="L127" s="166">
        <f t="shared" si="52"/>
        <v>8161</v>
      </c>
      <c r="M127" s="167">
        <f t="shared" si="54"/>
        <v>7.3189535151816114E-4</v>
      </c>
      <c r="N127" s="81"/>
    </row>
    <row r="128" spans="1:14" x14ac:dyDescent="0.25">
      <c r="A128" s="1"/>
      <c r="B128" s="165" t="s">
        <v>126</v>
      </c>
      <c r="C128" s="166">
        <v>4930</v>
      </c>
      <c r="D128" s="166">
        <v>1882</v>
      </c>
      <c r="E128" s="166">
        <v>3678</v>
      </c>
      <c r="F128" s="166">
        <v>6463</v>
      </c>
      <c r="G128" s="166">
        <v>7409</v>
      </c>
      <c r="H128" s="166">
        <v>7428</v>
      </c>
      <c r="I128" s="167">
        <f t="shared" si="53"/>
        <v>2.5644486435416614E-3</v>
      </c>
      <c r="J128" s="181">
        <f t="shared" si="50"/>
        <v>1.0195758564437196</v>
      </c>
      <c r="K128" s="166">
        <f t="shared" si="51"/>
        <v>19</v>
      </c>
      <c r="L128" s="166">
        <f t="shared" si="52"/>
        <v>3750</v>
      </c>
      <c r="M128" s="167">
        <f t="shared" si="54"/>
        <v>2.0584296963677639E-4</v>
      </c>
      <c r="N128" s="81"/>
    </row>
    <row r="129" spans="1:14" x14ac:dyDescent="0.25">
      <c r="A129" s="1"/>
      <c r="B129" s="165" t="s">
        <v>122</v>
      </c>
      <c r="C129" s="166">
        <v>3923</v>
      </c>
      <c r="D129" s="166">
        <v>1919</v>
      </c>
      <c r="E129" s="166">
        <v>3450</v>
      </c>
      <c r="F129" s="166">
        <v>4851</v>
      </c>
      <c r="G129" s="166">
        <v>6010</v>
      </c>
      <c r="H129" s="166">
        <v>5932</v>
      </c>
      <c r="I129" s="167">
        <f t="shared" si="53"/>
        <v>-1.2978369384359367E-2</v>
      </c>
      <c r="J129" s="181">
        <f t="shared" si="50"/>
        <v>0.71942028985507256</v>
      </c>
      <c r="K129" s="166">
        <f t="shared" si="51"/>
        <v>-78</v>
      </c>
      <c r="L129" s="166">
        <f t="shared" si="52"/>
        <v>2482</v>
      </c>
      <c r="M129" s="167">
        <f t="shared" si="54"/>
        <v>1.6438617338251986E-4</v>
      </c>
      <c r="N129" s="81"/>
    </row>
    <row r="130" spans="1:14" x14ac:dyDescent="0.25">
      <c r="A130" s="1"/>
      <c r="B130" s="165" t="s">
        <v>131</v>
      </c>
      <c r="C130" s="166">
        <v>4303</v>
      </c>
      <c r="D130" s="166">
        <v>1701</v>
      </c>
      <c r="E130" s="166">
        <v>1442</v>
      </c>
      <c r="F130" s="166">
        <v>2747</v>
      </c>
      <c r="G130" s="166">
        <v>3507</v>
      </c>
      <c r="H130" s="166">
        <v>3870</v>
      </c>
      <c r="I130" s="167">
        <f t="shared" si="53"/>
        <v>0.10350727117194181</v>
      </c>
      <c r="J130" s="181">
        <f t="shared" si="50"/>
        <v>1.6837725381414703</v>
      </c>
      <c r="K130" s="166">
        <f t="shared" si="51"/>
        <v>363</v>
      </c>
      <c r="L130" s="166">
        <f t="shared" si="52"/>
        <v>2428</v>
      </c>
      <c r="M130" s="167">
        <f t="shared" si="54"/>
        <v>1.0724451972190693E-4</v>
      </c>
      <c r="N130" s="81"/>
    </row>
    <row r="131" spans="1:14" x14ac:dyDescent="0.25">
      <c r="A131" s="164" t="s">
        <v>147</v>
      </c>
      <c r="B131" s="165" t="s">
        <v>134</v>
      </c>
      <c r="C131" s="166">
        <v>5879</v>
      </c>
      <c r="D131" s="166">
        <v>2155</v>
      </c>
      <c r="E131" s="166">
        <v>2010</v>
      </c>
      <c r="F131" s="166">
        <v>4022</v>
      </c>
      <c r="G131" s="166">
        <v>4912</v>
      </c>
      <c r="H131" s="166">
        <v>5426</v>
      </c>
      <c r="I131" s="167">
        <f t="shared" si="53"/>
        <v>0.10464169381107502</v>
      </c>
      <c r="J131" s="181">
        <f t="shared" si="50"/>
        <v>1.6995024875621891</v>
      </c>
      <c r="K131" s="166">
        <f t="shared" si="51"/>
        <v>514</v>
      </c>
      <c r="L131" s="166">
        <f t="shared" si="52"/>
        <v>3416</v>
      </c>
      <c r="M131" s="167">
        <f t="shared" si="54"/>
        <v>1.5036402170828605E-4</v>
      </c>
      <c r="N131" s="81"/>
    </row>
    <row r="132" spans="1:14" x14ac:dyDescent="0.25">
      <c r="A132" s="169" t="s">
        <v>148</v>
      </c>
      <c r="B132" s="170" t="s">
        <v>148</v>
      </c>
      <c r="C132" s="171">
        <f t="shared" ref="C132:H132" si="55">C124-SUM(C125:C131)</f>
        <v>164819</v>
      </c>
      <c r="D132" s="171">
        <f t="shared" si="55"/>
        <v>62461</v>
      </c>
      <c r="E132" s="171">
        <f t="shared" si="55"/>
        <v>89163</v>
      </c>
      <c r="F132" s="171">
        <f t="shared" si="55"/>
        <v>161456</v>
      </c>
      <c r="G132" s="171">
        <f t="shared" si="55"/>
        <v>142198</v>
      </c>
      <c r="H132" s="171">
        <f t="shared" si="55"/>
        <v>148247</v>
      </c>
      <c r="I132" s="172">
        <f t="shared" si="53"/>
        <v>4.2539276220481259E-2</v>
      </c>
      <c r="J132" s="182">
        <f t="shared" si="50"/>
        <v>0.66265154828796691</v>
      </c>
      <c r="K132" s="171">
        <f>H132-G132</f>
        <v>6049</v>
      </c>
      <c r="L132" s="171">
        <f t="shared" si="52"/>
        <v>59084</v>
      </c>
      <c r="M132" s="172">
        <f t="shared" si="54"/>
        <v>4.108185611166288E-3</v>
      </c>
      <c r="N132" s="81"/>
    </row>
    <row r="133" spans="1:14" s="148" customFormat="1" x14ac:dyDescent="0.25">
      <c r="B133" s="157" t="s">
        <v>55</v>
      </c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</row>
    <row r="134" spans="1:14" x14ac:dyDescent="0.25">
      <c r="A134" s="1">
        <v>3</v>
      </c>
      <c r="B134" s="158" t="s">
        <v>71</v>
      </c>
      <c r="C134" s="178">
        <v>1856756</v>
      </c>
      <c r="D134" s="178">
        <v>610766</v>
      </c>
      <c r="E134" s="178">
        <v>774989</v>
      </c>
      <c r="F134" s="178">
        <v>1753117</v>
      </c>
      <c r="G134" s="178">
        <v>1897228</v>
      </c>
      <c r="H134" s="178">
        <v>1991159</v>
      </c>
      <c r="I134" s="179">
        <f>IFERROR(H134/G134-1,"-")</f>
        <v>4.9509600322154235E-2</v>
      </c>
      <c r="J134" s="179">
        <f>IFERROR(H134/E134-1,"-")</f>
        <v>1.569273886468066</v>
      </c>
      <c r="K134" s="178">
        <f>H134-G134</f>
        <v>93931</v>
      </c>
      <c r="L134" s="178">
        <f>H134-E134</f>
        <v>1216170</v>
      </c>
      <c r="M134" s="179">
        <f>H134/H$8</f>
        <v>5.5178524714457999E-2</v>
      </c>
      <c r="N134" s="81"/>
    </row>
    <row r="135" spans="1:14" x14ac:dyDescent="0.25">
      <c r="A135" s="1" t="s">
        <v>99</v>
      </c>
      <c r="B135" s="161" t="s">
        <v>100</v>
      </c>
      <c r="C135" s="162">
        <v>192906</v>
      </c>
      <c r="D135" s="162">
        <v>77176</v>
      </c>
      <c r="E135" s="162">
        <v>141993</v>
      </c>
      <c r="F135" s="162">
        <v>105219</v>
      </c>
      <c r="G135" s="162">
        <v>121724</v>
      </c>
      <c r="H135" s="162">
        <v>103793</v>
      </c>
      <c r="I135" s="163">
        <f>IFERROR(H135/G135-1,"-")</f>
        <v>-0.14730866550556998</v>
      </c>
      <c r="J135" s="180">
        <f t="shared" ref="J135:J146" si="56">IFERROR(H135/E135-1,"-")</f>
        <v>-0.26902734641848547</v>
      </c>
      <c r="K135" s="162">
        <f t="shared" ref="K135:K145" si="57">H135-G135</f>
        <v>-17931</v>
      </c>
      <c r="L135" s="162">
        <f t="shared" ref="L135:L146" si="58">H135-E135</f>
        <v>-38200</v>
      </c>
      <c r="M135" s="163">
        <f>H135/H$8</f>
        <v>2.8762869342366629E-3</v>
      </c>
      <c r="N135" s="81"/>
    </row>
    <row r="136" spans="1:14" x14ac:dyDescent="0.25">
      <c r="A136" s="164" t="s">
        <v>106</v>
      </c>
      <c r="B136" s="165" t="s">
        <v>106</v>
      </c>
      <c r="C136" s="166">
        <v>94828</v>
      </c>
      <c r="D136" s="166">
        <v>51058</v>
      </c>
      <c r="E136" s="166">
        <v>86437</v>
      </c>
      <c r="F136" s="166">
        <v>57546</v>
      </c>
      <c r="G136" s="166">
        <v>67596</v>
      </c>
      <c r="H136" s="166">
        <v>47888</v>
      </c>
      <c r="I136" s="167">
        <f>IFERROR(H136/G136-1,"-")</f>
        <v>-0.29155571335581987</v>
      </c>
      <c r="J136" s="181">
        <f t="shared" si="56"/>
        <v>-0.44597799553431983</v>
      </c>
      <c r="K136" s="166">
        <f t="shared" si="57"/>
        <v>-19708</v>
      </c>
      <c r="L136" s="166">
        <f t="shared" si="58"/>
        <v>-38549</v>
      </c>
      <c r="M136" s="167">
        <f>H136/H$8</f>
        <v>1.3270608683314416E-3</v>
      </c>
      <c r="N136" s="81"/>
    </row>
    <row r="137" spans="1:14" x14ac:dyDescent="0.25">
      <c r="A137" s="164" t="s">
        <v>103</v>
      </c>
      <c r="B137" s="165" t="s">
        <v>103</v>
      </c>
      <c r="C137" s="166">
        <v>98078</v>
      </c>
      <c r="D137" s="166">
        <v>26118</v>
      </c>
      <c r="E137" s="166">
        <v>55556</v>
      </c>
      <c r="F137" s="166">
        <v>47673</v>
      </c>
      <c r="G137" s="166">
        <v>54128</v>
      </c>
      <c r="H137" s="166">
        <v>55905</v>
      </c>
      <c r="I137" s="167">
        <f>IFERROR(H137/G137-1,"-")</f>
        <v>3.2829589122080893E-2</v>
      </c>
      <c r="J137" s="181">
        <f t="shared" si="56"/>
        <v>6.2819497444019934E-3</v>
      </c>
      <c r="K137" s="166">
        <f t="shared" si="57"/>
        <v>1777</v>
      </c>
      <c r="L137" s="166">
        <f t="shared" si="58"/>
        <v>349</v>
      </c>
      <c r="M137" s="167">
        <f>H137/H$8</f>
        <v>1.5492260659052213E-3</v>
      </c>
      <c r="N137" s="81"/>
    </row>
    <row r="138" spans="1:14" x14ac:dyDescent="0.25">
      <c r="A138" s="1"/>
      <c r="B138" s="161" t="s">
        <v>110</v>
      </c>
      <c r="C138" s="162">
        <v>1663850</v>
      </c>
      <c r="D138" s="162">
        <v>533590</v>
      </c>
      <c r="E138" s="162">
        <v>632996</v>
      </c>
      <c r="F138" s="162">
        <v>1647898</v>
      </c>
      <c r="G138" s="162">
        <v>1775504</v>
      </c>
      <c r="H138" s="162">
        <v>1887366</v>
      </c>
      <c r="I138" s="163">
        <f>IFERROR(H138/G138-1,"-")</f>
        <v>6.3002955780443237E-2</v>
      </c>
      <c r="J138" s="180">
        <f t="shared" si="56"/>
        <v>1.981639694405652</v>
      </c>
      <c r="K138" s="162">
        <f t="shared" si="57"/>
        <v>111862</v>
      </c>
      <c r="L138" s="162">
        <f t="shared" si="58"/>
        <v>1254370</v>
      </c>
      <c r="M138" s="163">
        <f>H138/H$8</f>
        <v>5.230223778022134E-2</v>
      </c>
      <c r="N138" s="81"/>
    </row>
    <row r="139" spans="1:14" s="58" customFormat="1" x14ac:dyDescent="0.25">
      <c r="B139" s="165" t="s">
        <v>113</v>
      </c>
      <c r="C139" s="166">
        <v>847716</v>
      </c>
      <c r="D139" s="166">
        <v>226701</v>
      </c>
      <c r="E139" s="166">
        <v>182984</v>
      </c>
      <c r="F139" s="166">
        <v>740061</v>
      </c>
      <c r="G139" s="166">
        <v>747598</v>
      </c>
      <c r="H139" s="166">
        <v>859363</v>
      </c>
      <c r="I139" s="167">
        <f t="shared" ref="I139:I146" si="59">IFERROR(H139/G139-1,"-")</f>
        <v>0.1494987948068347</v>
      </c>
      <c r="J139" s="181">
        <f t="shared" si="56"/>
        <v>3.6963832903423253</v>
      </c>
      <c r="K139" s="166">
        <f t="shared" si="57"/>
        <v>111765</v>
      </c>
      <c r="L139" s="166">
        <f t="shared" si="58"/>
        <v>676379</v>
      </c>
      <c r="M139" s="167">
        <f t="shared" ref="M139:M146" si="60">H139/H$8</f>
        <v>2.3814463101234393E-2</v>
      </c>
      <c r="N139" s="168"/>
    </row>
    <row r="140" spans="1:14" s="58" customFormat="1" x14ac:dyDescent="0.25">
      <c r="B140" s="165" t="s">
        <v>116</v>
      </c>
      <c r="C140" s="166">
        <v>113771</v>
      </c>
      <c r="D140" s="166">
        <v>45672</v>
      </c>
      <c r="E140" s="166">
        <v>69325</v>
      </c>
      <c r="F140" s="166">
        <v>132461</v>
      </c>
      <c r="G140" s="166">
        <v>181835</v>
      </c>
      <c r="H140" s="166">
        <v>190230</v>
      </c>
      <c r="I140" s="167">
        <f t="shared" si="59"/>
        <v>4.6168229438776853E-2</v>
      </c>
      <c r="J140" s="181">
        <f t="shared" si="56"/>
        <v>1.7440317345834835</v>
      </c>
      <c r="K140" s="166">
        <f t="shared" si="57"/>
        <v>8395</v>
      </c>
      <c r="L140" s="166">
        <f t="shared" si="58"/>
        <v>120905</v>
      </c>
      <c r="M140" s="167">
        <f t="shared" si="60"/>
        <v>5.2716085236946654E-3</v>
      </c>
      <c r="N140" s="168"/>
    </row>
    <row r="141" spans="1:14" x14ac:dyDescent="0.25">
      <c r="A141" s="1"/>
      <c r="B141" s="165" t="s">
        <v>119</v>
      </c>
      <c r="C141" s="166">
        <v>132722</v>
      </c>
      <c r="D141" s="166">
        <v>42455</v>
      </c>
      <c r="E141" s="166">
        <v>94016</v>
      </c>
      <c r="F141" s="166">
        <v>171222</v>
      </c>
      <c r="G141" s="166">
        <v>162480</v>
      </c>
      <c r="H141" s="166">
        <v>166493</v>
      </c>
      <c r="I141" s="167">
        <f t="shared" si="59"/>
        <v>2.4698424421467191E-2</v>
      </c>
      <c r="J141" s="181">
        <f t="shared" si="56"/>
        <v>0.77090069775357395</v>
      </c>
      <c r="K141" s="166">
        <f t="shared" si="57"/>
        <v>4013</v>
      </c>
      <c r="L141" s="166">
        <f t="shared" si="58"/>
        <v>72477</v>
      </c>
      <c r="M141" s="167">
        <f t="shared" si="60"/>
        <v>4.6138144243047675E-3</v>
      </c>
      <c r="N141" s="81"/>
    </row>
    <row r="142" spans="1:14" x14ac:dyDescent="0.25">
      <c r="A142" s="1"/>
      <c r="B142" s="165" t="s">
        <v>126</v>
      </c>
      <c r="C142" s="166">
        <v>38846</v>
      </c>
      <c r="D142" s="166">
        <v>8958</v>
      </c>
      <c r="E142" s="166">
        <v>22357</v>
      </c>
      <c r="F142" s="166">
        <v>60881</v>
      </c>
      <c r="G142" s="166">
        <v>79292</v>
      </c>
      <c r="H142" s="166">
        <v>59046</v>
      </c>
      <c r="I142" s="167">
        <f t="shared" si="59"/>
        <v>-0.25533471220299653</v>
      </c>
      <c r="J142" s="181">
        <f t="shared" si="56"/>
        <v>1.6410520195017222</v>
      </c>
      <c r="K142" s="166">
        <f t="shared" si="57"/>
        <v>-20246</v>
      </c>
      <c r="L142" s="166">
        <f t="shared" si="58"/>
        <v>36689</v>
      </c>
      <c r="M142" s="167">
        <f t="shared" si="60"/>
        <v>1.6362687109818389E-3</v>
      </c>
      <c r="N142" s="81"/>
    </row>
    <row r="143" spans="1:14" x14ac:dyDescent="0.25">
      <c r="A143" s="1"/>
      <c r="B143" s="165" t="s">
        <v>122</v>
      </c>
      <c r="C143" s="166">
        <v>39195</v>
      </c>
      <c r="D143" s="166">
        <v>12571</v>
      </c>
      <c r="E143" s="166">
        <v>20808</v>
      </c>
      <c r="F143" s="166">
        <v>32138</v>
      </c>
      <c r="G143" s="166">
        <v>41049</v>
      </c>
      <c r="H143" s="166">
        <v>42057</v>
      </c>
      <c r="I143" s="167">
        <f t="shared" si="59"/>
        <v>2.4556018417013714E-2</v>
      </c>
      <c r="J143" s="181">
        <f t="shared" si="56"/>
        <v>1.0211937716262978</v>
      </c>
      <c r="K143" s="166">
        <f t="shared" si="57"/>
        <v>1008</v>
      </c>
      <c r="L143" s="166">
        <f t="shared" si="58"/>
        <v>21249</v>
      </c>
      <c r="M143" s="167">
        <f t="shared" si="60"/>
        <v>1.165473582931328E-3</v>
      </c>
      <c r="N143" s="81"/>
    </row>
    <row r="144" spans="1:14" x14ac:dyDescent="0.25">
      <c r="A144" s="1"/>
      <c r="B144" s="165" t="s">
        <v>131</v>
      </c>
      <c r="C144" s="166">
        <v>18681</v>
      </c>
      <c r="D144" s="166">
        <v>15372</v>
      </c>
      <c r="E144" s="166">
        <v>9958</v>
      </c>
      <c r="F144" s="166">
        <v>24691</v>
      </c>
      <c r="G144" s="166">
        <v>28175</v>
      </c>
      <c r="H144" s="166">
        <v>26046</v>
      </c>
      <c r="I144" s="167">
        <f t="shared" si="59"/>
        <v>-7.5563442768411759E-2</v>
      </c>
      <c r="J144" s="181">
        <f t="shared" si="56"/>
        <v>1.6155854589274954</v>
      </c>
      <c r="K144" s="166">
        <f t="shared" si="57"/>
        <v>-2129</v>
      </c>
      <c r="L144" s="166">
        <f t="shared" si="58"/>
        <v>16088</v>
      </c>
      <c r="M144" s="167">
        <f t="shared" si="60"/>
        <v>7.2178055831441542E-4</v>
      </c>
      <c r="N144" s="81"/>
    </row>
    <row r="145" spans="1:14" x14ac:dyDescent="0.25">
      <c r="A145" s="164" t="s">
        <v>147</v>
      </c>
      <c r="B145" s="165" t="s">
        <v>134</v>
      </c>
      <c r="C145" s="166">
        <v>47882</v>
      </c>
      <c r="D145" s="166">
        <v>29519</v>
      </c>
      <c r="E145" s="166">
        <v>6358</v>
      </c>
      <c r="F145" s="166">
        <v>14264</v>
      </c>
      <c r="G145" s="166">
        <v>21389</v>
      </c>
      <c r="H145" s="166">
        <v>19939</v>
      </c>
      <c r="I145" s="167">
        <f t="shared" si="59"/>
        <v>-6.7791855626723962E-2</v>
      </c>
      <c r="J145" s="181">
        <f t="shared" si="56"/>
        <v>2.1360490720352314</v>
      </c>
      <c r="K145" s="166">
        <f t="shared" si="57"/>
        <v>-1450</v>
      </c>
      <c r="L145" s="166">
        <f t="shared" si="58"/>
        <v>13581</v>
      </c>
      <c r="M145" s="167">
        <f t="shared" si="60"/>
        <v>5.52544826546538E-4</v>
      </c>
      <c r="N145" s="81"/>
    </row>
    <row r="146" spans="1:14" x14ac:dyDescent="0.25">
      <c r="A146" s="169" t="s">
        <v>148</v>
      </c>
      <c r="B146" s="170" t="s">
        <v>148</v>
      </c>
      <c r="C146" s="171">
        <f t="shared" ref="C146:H146" si="61">C138-SUM(C139:C145)</f>
        <v>425037</v>
      </c>
      <c r="D146" s="171">
        <f t="shared" si="61"/>
        <v>152342</v>
      </c>
      <c r="E146" s="171">
        <f t="shared" si="61"/>
        <v>227190</v>
      </c>
      <c r="F146" s="171">
        <f t="shared" si="61"/>
        <v>472180</v>
      </c>
      <c r="G146" s="171">
        <f t="shared" si="61"/>
        <v>513686</v>
      </c>
      <c r="H146" s="171">
        <f t="shared" si="61"/>
        <v>524192</v>
      </c>
      <c r="I146" s="172">
        <f t="shared" si="59"/>
        <v>2.0452182851002254E-2</v>
      </c>
      <c r="J146" s="182">
        <f t="shared" si="56"/>
        <v>1.3072846516131871</v>
      </c>
      <c r="K146" s="171">
        <f>H146-G146</f>
        <v>10506</v>
      </c>
      <c r="L146" s="171">
        <f t="shared" si="58"/>
        <v>297002</v>
      </c>
      <c r="M146" s="172">
        <f t="shared" si="60"/>
        <v>1.4526284052213394E-2</v>
      </c>
      <c r="N146" s="81"/>
    </row>
    <row r="147" spans="1:14" s="148" customFormat="1" x14ac:dyDescent="0.25">
      <c r="B147" s="157" t="s">
        <v>56</v>
      </c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</row>
    <row r="148" spans="1:14" x14ac:dyDescent="0.25">
      <c r="A148" s="1">
        <v>3</v>
      </c>
      <c r="B148" s="158" t="s">
        <v>71</v>
      </c>
      <c r="C148" s="178">
        <v>721244</v>
      </c>
      <c r="D148" s="178">
        <v>235241</v>
      </c>
      <c r="E148" s="178">
        <v>320278</v>
      </c>
      <c r="F148" s="178">
        <v>622441</v>
      </c>
      <c r="G148" s="178">
        <v>781228</v>
      </c>
      <c r="H148" s="178">
        <v>735699</v>
      </c>
      <c r="I148" s="179">
        <f>IFERROR(H148/G148-1,"-")</f>
        <v>-5.827876112991337E-2</v>
      </c>
      <c r="J148" s="179">
        <f>IFERROR(H148/E148-1,"-")</f>
        <v>1.2970638008230351</v>
      </c>
      <c r="K148" s="178">
        <f>H148-G148</f>
        <v>-45529</v>
      </c>
      <c r="L148" s="178">
        <f>H148-E148</f>
        <v>415421</v>
      </c>
      <c r="M148" s="179">
        <f>H148/H$8</f>
        <v>2.0387515740280932E-2</v>
      </c>
      <c r="N148" s="81"/>
    </row>
    <row r="149" spans="1:14" x14ac:dyDescent="0.25">
      <c r="A149" s="1" t="s">
        <v>99</v>
      </c>
      <c r="B149" s="161" t="s">
        <v>100</v>
      </c>
      <c r="C149" s="162">
        <v>261107</v>
      </c>
      <c r="D149" s="162">
        <v>90513</v>
      </c>
      <c r="E149" s="162">
        <v>118326</v>
      </c>
      <c r="F149" s="162">
        <v>251371</v>
      </c>
      <c r="G149" s="162">
        <v>299463</v>
      </c>
      <c r="H149" s="162">
        <v>274583</v>
      </c>
      <c r="I149" s="163">
        <f>IFERROR(H149/G149-1,"-")</f>
        <v>-8.3082050203197033E-2</v>
      </c>
      <c r="J149" s="180">
        <f t="shared" ref="J149:J160" si="62">IFERROR(H149/E149-1,"-")</f>
        <v>1.3205635278806009</v>
      </c>
      <c r="K149" s="162">
        <f t="shared" ref="K149:K159" si="63">H149-G149</f>
        <v>-24880</v>
      </c>
      <c r="L149" s="162">
        <f t="shared" ref="L149:L160" si="64">H149-E149</f>
        <v>156257</v>
      </c>
      <c r="M149" s="163">
        <f>H149/H$8</f>
        <v>7.6091788007236092E-3</v>
      </c>
      <c r="N149" s="81"/>
    </row>
    <row r="150" spans="1:14" x14ac:dyDescent="0.25">
      <c r="A150" s="164" t="s">
        <v>106</v>
      </c>
      <c r="B150" s="165" t="s">
        <v>106</v>
      </c>
      <c r="C150" s="166">
        <v>111386</v>
      </c>
      <c r="D150" s="166">
        <v>46140</v>
      </c>
      <c r="E150" s="166">
        <v>86621</v>
      </c>
      <c r="F150" s="166">
        <v>153781</v>
      </c>
      <c r="G150" s="166">
        <v>212644</v>
      </c>
      <c r="H150" s="166">
        <v>179573</v>
      </c>
      <c r="I150" s="167">
        <f>IFERROR(H150/G150-1,"-")</f>
        <v>-0.15552284569515251</v>
      </c>
      <c r="J150" s="181">
        <f t="shared" si="62"/>
        <v>1.0730885120236433</v>
      </c>
      <c r="K150" s="166">
        <f t="shared" si="63"/>
        <v>-33071</v>
      </c>
      <c r="L150" s="166">
        <f t="shared" si="64"/>
        <v>92952</v>
      </c>
      <c r="M150" s="167">
        <f>H150/H$8</f>
        <v>4.9762842739074914E-3</v>
      </c>
      <c r="N150" s="81"/>
    </row>
    <row r="151" spans="1:14" x14ac:dyDescent="0.25">
      <c r="A151" s="164" t="s">
        <v>103</v>
      </c>
      <c r="B151" s="165" t="s">
        <v>103</v>
      </c>
      <c r="C151" s="166">
        <v>149721</v>
      </c>
      <c r="D151" s="166">
        <v>44373</v>
      </c>
      <c r="E151" s="166">
        <v>31705</v>
      </c>
      <c r="F151" s="166">
        <v>97590</v>
      </c>
      <c r="G151" s="166">
        <v>86819</v>
      </c>
      <c r="H151" s="166">
        <v>95010</v>
      </c>
      <c r="I151" s="167">
        <f>IFERROR(H151/G151-1,"-")</f>
        <v>9.4345707736785744E-2</v>
      </c>
      <c r="J151" s="181">
        <f t="shared" si="62"/>
        <v>1.9966882195237345</v>
      </c>
      <c r="K151" s="166">
        <f t="shared" si="63"/>
        <v>8191</v>
      </c>
      <c r="L151" s="166">
        <f t="shared" si="64"/>
        <v>63305</v>
      </c>
      <c r="M151" s="167">
        <f>H151/H$8</f>
        <v>2.6328945268161178E-3</v>
      </c>
      <c r="N151" s="81"/>
    </row>
    <row r="152" spans="1:14" x14ac:dyDescent="0.25">
      <c r="A152" s="1"/>
      <c r="B152" s="161" t="s">
        <v>110</v>
      </c>
      <c r="C152" s="162">
        <v>460137</v>
      </c>
      <c r="D152" s="162">
        <v>144728</v>
      </c>
      <c r="E152" s="162">
        <v>201952</v>
      </c>
      <c r="F152" s="162">
        <v>371070</v>
      </c>
      <c r="G152" s="162">
        <v>481765</v>
      </c>
      <c r="H152" s="162">
        <v>461116</v>
      </c>
      <c r="I152" s="163">
        <f>IFERROR(H152/G152-1,"-")</f>
        <v>-4.2861145994416372E-2</v>
      </c>
      <c r="J152" s="180">
        <f t="shared" si="62"/>
        <v>1.2832950404056409</v>
      </c>
      <c r="K152" s="162">
        <f t="shared" si="63"/>
        <v>-20649</v>
      </c>
      <c r="L152" s="162">
        <f t="shared" si="64"/>
        <v>259164</v>
      </c>
      <c r="M152" s="163">
        <f>H152/H$8</f>
        <v>1.2778336939557322E-2</v>
      </c>
      <c r="N152" s="81"/>
    </row>
    <row r="153" spans="1:14" s="58" customFormat="1" x14ac:dyDescent="0.25">
      <c r="B153" s="165" t="s">
        <v>113</v>
      </c>
      <c r="C153" s="166">
        <v>120718</v>
      </c>
      <c r="D153" s="166">
        <v>31890</v>
      </c>
      <c r="E153" s="166">
        <v>39412</v>
      </c>
      <c r="F153" s="166">
        <v>136400</v>
      </c>
      <c r="G153" s="166">
        <v>179243</v>
      </c>
      <c r="H153" s="166">
        <v>146131</v>
      </c>
      <c r="I153" s="167">
        <f t="shared" ref="I153:I160" si="65">IFERROR(H153/G153-1,"-")</f>
        <v>-0.18473245817130934</v>
      </c>
      <c r="J153" s="181">
        <f t="shared" si="62"/>
        <v>2.7077793565411548</v>
      </c>
      <c r="K153" s="166">
        <f t="shared" si="63"/>
        <v>-33112</v>
      </c>
      <c r="L153" s="166">
        <f t="shared" si="64"/>
        <v>106719</v>
      </c>
      <c r="M153" s="167">
        <f t="shared" ref="M153:M160" si="66">H153/H$8</f>
        <v>4.0495475223467654E-3</v>
      </c>
      <c r="N153" s="168"/>
    </row>
    <row r="154" spans="1:14" s="58" customFormat="1" x14ac:dyDescent="0.25">
      <c r="B154" s="165" t="s">
        <v>116</v>
      </c>
      <c r="C154" s="166">
        <v>154372</v>
      </c>
      <c r="D154" s="166">
        <v>49978</v>
      </c>
      <c r="E154" s="166">
        <v>69931</v>
      </c>
      <c r="F154" s="166">
        <v>98479</v>
      </c>
      <c r="G154" s="166">
        <v>105256</v>
      </c>
      <c r="H154" s="166">
        <v>104855</v>
      </c>
      <c r="I154" s="167">
        <f t="shared" si="65"/>
        <v>-3.8097590636163581E-3</v>
      </c>
      <c r="J154" s="181">
        <f t="shared" si="62"/>
        <v>0.49940655789277999</v>
      </c>
      <c r="K154" s="166">
        <f t="shared" si="63"/>
        <v>-401</v>
      </c>
      <c r="L154" s="166">
        <f t="shared" si="64"/>
        <v>34924</v>
      </c>
      <c r="M154" s="167">
        <f t="shared" si="66"/>
        <v>2.9057168256952327E-3</v>
      </c>
      <c r="N154" s="168"/>
    </row>
    <row r="155" spans="1:14" x14ac:dyDescent="0.25">
      <c r="A155" s="1"/>
      <c r="B155" s="165" t="s">
        <v>119</v>
      </c>
      <c r="C155" s="166">
        <v>63972</v>
      </c>
      <c r="D155" s="166">
        <v>14033</v>
      </c>
      <c r="E155" s="166">
        <v>26362</v>
      </c>
      <c r="F155" s="166">
        <v>41410</v>
      </c>
      <c r="G155" s="166">
        <v>72199</v>
      </c>
      <c r="H155" s="166">
        <v>71765</v>
      </c>
      <c r="I155" s="167">
        <f t="shared" si="65"/>
        <v>-6.0111635895233606E-3</v>
      </c>
      <c r="J155" s="181">
        <f t="shared" si="62"/>
        <v>1.7222896593581671</v>
      </c>
      <c r="K155" s="166">
        <f t="shared" si="63"/>
        <v>-434</v>
      </c>
      <c r="L155" s="166">
        <f t="shared" si="64"/>
        <v>45403</v>
      </c>
      <c r="M155" s="167">
        <f t="shared" si="66"/>
        <v>1.9887346144296255E-3</v>
      </c>
      <c r="N155" s="81"/>
    </row>
    <row r="156" spans="1:14" x14ac:dyDescent="0.25">
      <c r="A156" s="1"/>
      <c r="B156" s="165" t="s">
        <v>126</v>
      </c>
      <c r="C156" s="166">
        <v>7808</v>
      </c>
      <c r="D156" s="166">
        <v>2588</v>
      </c>
      <c r="E156" s="166">
        <v>4562</v>
      </c>
      <c r="F156" s="166">
        <v>9484</v>
      </c>
      <c r="G156" s="166">
        <v>12559</v>
      </c>
      <c r="H156" s="166">
        <v>15268</v>
      </c>
      <c r="I156" s="167">
        <f t="shared" si="65"/>
        <v>0.21570188709292148</v>
      </c>
      <c r="J156" s="181">
        <f t="shared" si="62"/>
        <v>2.3467777290661989</v>
      </c>
      <c r="K156" s="166">
        <f t="shared" si="63"/>
        <v>2709</v>
      </c>
      <c r="L156" s="166">
        <f t="shared" si="64"/>
        <v>10706</v>
      </c>
      <c r="M156" s="167">
        <f t="shared" si="66"/>
        <v>4.2310318530079454E-4</v>
      </c>
      <c r="N156" s="81"/>
    </row>
    <row r="157" spans="1:14" x14ac:dyDescent="0.25">
      <c r="A157" s="1"/>
      <c r="B157" s="165" t="s">
        <v>122</v>
      </c>
      <c r="C157" s="166">
        <v>21924</v>
      </c>
      <c r="D157" s="166">
        <v>10906</v>
      </c>
      <c r="E157" s="166">
        <v>13772</v>
      </c>
      <c r="F157" s="166">
        <v>27289</v>
      </c>
      <c r="G157" s="166">
        <v>21390</v>
      </c>
      <c r="H157" s="166">
        <v>24668</v>
      </c>
      <c r="I157" s="167">
        <f t="shared" si="65"/>
        <v>0.15324918186068248</v>
      </c>
      <c r="J157" s="181">
        <f t="shared" si="62"/>
        <v>0.791170490851002</v>
      </c>
      <c r="K157" s="166">
        <f t="shared" si="63"/>
        <v>3278</v>
      </c>
      <c r="L157" s="166">
        <f t="shared" si="64"/>
        <v>10896</v>
      </c>
      <c r="M157" s="167">
        <f t="shared" si="66"/>
        <v>6.8359374999999996E-4</v>
      </c>
      <c r="N157" s="81"/>
    </row>
    <row r="158" spans="1:14" x14ac:dyDescent="0.25">
      <c r="A158" s="1"/>
      <c r="B158" s="165" t="s">
        <v>131</v>
      </c>
      <c r="C158" s="166">
        <v>2951</v>
      </c>
      <c r="D158" s="166">
        <v>2836</v>
      </c>
      <c r="E158" s="166">
        <v>1823</v>
      </c>
      <c r="F158" s="166">
        <v>2563</v>
      </c>
      <c r="G158" s="166">
        <v>4469</v>
      </c>
      <c r="H158" s="166">
        <v>3399</v>
      </c>
      <c r="I158" s="167">
        <f t="shared" si="65"/>
        <v>-0.23942716491385097</v>
      </c>
      <c r="J158" s="181">
        <f t="shared" si="62"/>
        <v>0.86450905101481079</v>
      </c>
      <c r="K158" s="166">
        <f t="shared" si="63"/>
        <v>-1070</v>
      </c>
      <c r="L158" s="166">
        <f t="shared" si="64"/>
        <v>1576</v>
      </c>
      <c r="M158" s="167">
        <f t="shared" si="66"/>
        <v>9.4192279724744611E-5</v>
      </c>
      <c r="N158" s="81"/>
    </row>
    <row r="159" spans="1:14" x14ac:dyDescent="0.25">
      <c r="A159" s="164" t="s">
        <v>147</v>
      </c>
      <c r="B159" s="165" t="s">
        <v>134</v>
      </c>
      <c r="C159" s="166">
        <v>7381</v>
      </c>
      <c r="D159" s="166">
        <v>3788</v>
      </c>
      <c r="E159" s="166">
        <v>2712</v>
      </c>
      <c r="F159" s="166">
        <v>4129</v>
      </c>
      <c r="G159" s="166">
        <v>6277</v>
      </c>
      <c r="H159" s="166">
        <v>5327</v>
      </c>
      <c r="I159" s="167">
        <f t="shared" si="65"/>
        <v>-0.15134618448303327</v>
      </c>
      <c r="J159" s="181">
        <f t="shared" si="62"/>
        <v>0.96423303834808261</v>
      </c>
      <c r="K159" s="166">
        <f t="shared" si="63"/>
        <v>-950</v>
      </c>
      <c r="L159" s="166">
        <f t="shared" si="64"/>
        <v>2615</v>
      </c>
      <c r="M159" s="167">
        <f t="shared" si="66"/>
        <v>1.4762055725028376E-4</v>
      </c>
      <c r="N159" s="81"/>
    </row>
    <row r="160" spans="1:14" x14ac:dyDescent="0.25">
      <c r="A160" s="169" t="s">
        <v>148</v>
      </c>
      <c r="B160" s="170" t="s">
        <v>148</v>
      </c>
      <c r="C160" s="171">
        <f t="shared" ref="C160:H160" si="67">C152-SUM(C153:C159)</f>
        <v>81011</v>
      </c>
      <c r="D160" s="171">
        <f t="shared" si="67"/>
        <v>28709</v>
      </c>
      <c r="E160" s="171">
        <f t="shared" si="67"/>
        <v>43378</v>
      </c>
      <c r="F160" s="171">
        <f t="shared" si="67"/>
        <v>51316</v>
      </c>
      <c r="G160" s="171">
        <f t="shared" si="67"/>
        <v>80372</v>
      </c>
      <c r="H160" s="171">
        <f t="shared" si="67"/>
        <v>89703</v>
      </c>
      <c r="I160" s="172">
        <f t="shared" si="65"/>
        <v>0.11609764594634941</v>
      </c>
      <c r="J160" s="182">
        <f t="shared" si="62"/>
        <v>1.067937664253769</v>
      </c>
      <c r="K160" s="171">
        <f>H160-G160</f>
        <v>9331</v>
      </c>
      <c r="L160" s="171">
        <f t="shared" si="64"/>
        <v>46325</v>
      </c>
      <c r="M160" s="172">
        <f t="shared" si="66"/>
        <v>2.485828204809875E-3</v>
      </c>
      <c r="N160" s="81"/>
    </row>
    <row r="161" spans="2:16" ht="6" customHeight="1" x14ac:dyDescent="0.25"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</row>
    <row r="162" spans="2:16" x14ac:dyDescent="0.25">
      <c r="B162" s="107" t="s">
        <v>58</v>
      </c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</row>
  </sheetData>
  <mergeCells count="1">
    <mergeCell ref="B4:M4"/>
  </mergeCells>
  <pageMargins left="0.25" right="0.25" top="0.75" bottom="0.75" header="0.3" footer="0.3"/>
  <pageSetup paperSize="9" scale="2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4019-AC3F-4C86-8575-1E09072BB74A}">
  <sheetPr>
    <tabColor theme="3" tint="0.39997558519241921"/>
  </sheetPr>
  <dimension ref="B4:B25"/>
  <sheetViews>
    <sheetView showGridLines="0" workbookViewId="0">
      <selection activeCell="H9" sqref="H9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1A63A-D765-4145-AC1D-FEA086BBB1C6}">
  <sheetPr>
    <tabColor theme="4" tint="0.79998168889431442"/>
  </sheetPr>
  <dimension ref="A1:O290"/>
  <sheetViews>
    <sheetView showGridLines="0" topLeftCell="F1" zoomScaleNormal="100" workbookViewId="0">
      <selection activeCell="H9" sqref="H9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1" spans="1:15" x14ac:dyDescent="0.25">
      <c r="D1" t="s">
        <v>298</v>
      </c>
      <c r="E1" t="s">
        <v>298</v>
      </c>
      <c r="G1" t="s">
        <v>298</v>
      </c>
    </row>
    <row r="4" spans="1:15" ht="48.75" customHeight="1" thickBot="1" x14ac:dyDescent="0.3">
      <c r="B4" s="283" t="s">
        <v>299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CONCATENATE("dif ",RIGHT(M7,2),"/",RIGHT(K7,2))</f>
        <v>dif 25/24</v>
      </c>
    </row>
    <row r="9" spans="1:15" x14ac:dyDescent="0.25">
      <c r="A9" s="1" t="s">
        <v>73</v>
      </c>
      <c r="B9" s="119" t="s">
        <v>74</v>
      </c>
      <c r="C9" s="189">
        <v>8.698648398805064</v>
      </c>
      <c r="D9" s="190">
        <v>0.10698328581209893</v>
      </c>
      <c r="E9" s="189">
        <v>6.4503121098626712</v>
      </c>
      <c r="F9" s="190">
        <f t="shared" ref="F9:J21" si="0">IFERROR(E9-C9,"-")</f>
        <v>-2.2483362889423928</v>
      </c>
      <c r="G9" s="189">
        <v>7.8975915168785624</v>
      </c>
      <c r="H9" s="190">
        <f t="shared" si="0"/>
        <v>1.4472794070158912</v>
      </c>
      <c r="I9" s="189">
        <v>7.9384785610073729</v>
      </c>
      <c r="J9" s="190">
        <f t="shared" si="0"/>
        <v>4.0887044128810501E-2</v>
      </c>
      <c r="K9" s="189">
        <v>8.1765736833344764</v>
      </c>
      <c r="L9" s="190">
        <f t="shared" ref="L9:L21" si="1">IFERROR(K9-I9,"-")</f>
        <v>0.2380951223271035</v>
      </c>
      <c r="M9" s="189">
        <v>8.0574486474558196</v>
      </c>
      <c r="N9" s="190">
        <f t="shared" ref="N9:N20" si="2">IFERROR(M9-K9,"-")</f>
        <v>-0.11912503587865686</v>
      </c>
    </row>
    <row r="10" spans="1:15" x14ac:dyDescent="0.25">
      <c r="A10" s="1" t="s">
        <v>75</v>
      </c>
      <c r="B10" s="119" t="s">
        <v>76</v>
      </c>
      <c r="C10" s="189">
        <v>7.9022125154306337</v>
      </c>
      <c r="D10" s="190">
        <v>-0.13598710257318558</v>
      </c>
      <c r="E10" s="189">
        <v>5.3170466883821934</v>
      </c>
      <c r="F10" s="190">
        <f t="shared" si="0"/>
        <v>-2.5851658270484403</v>
      </c>
      <c r="G10" s="189">
        <v>6.9120244256787435</v>
      </c>
      <c r="H10" s="190">
        <f t="shared" si="0"/>
        <v>1.5949777372965501</v>
      </c>
      <c r="I10" s="189">
        <v>7.573860021727854</v>
      </c>
      <c r="J10" s="190">
        <f t="shared" si="0"/>
        <v>0.66183559604911046</v>
      </c>
      <c r="K10" s="189">
        <v>7.3477985852502536</v>
      </c>
      <c r="L10" s="190">
        <f t="shared" si="1"/>
        <v>-0.22606143647760035</v>
      </c>
      <c r="M10" s="189">
        <v>7.0598509811422456</v>
      </c>
      <c r="N10" s="190">
        <f t="shared" si="2"/>
        <v>-0.28794760410800802</v>
      </c>
    </row>
    <row r="11" spans="1:15" x14ac:dyDescent="0.25">
      <c r="A11" s="1" t="s">
        <v>77</v>
      </c>
      <c r="B11" s="119" t="s">
        <v>78</v>
      </c>
      <c r="C11" s="189">
        <v>9.2650728155339799</v>
      </c>
      <c r="D11" s="190">
        <v>2.0269272667703646</v>
      </c>
      <c r="E11" s="189">
        <v>5.692027581932285</v>
      </c>
      <c r="F11" s="190">
        <f t="shared" si="0"/>
        <v>-3.5730452336016949</v>
      </c>
      <c r="G11" s="189">
        <v>7.1458150200649726</v>
      </c>
      <c r="H11" s="190">
        <f t="shared" si="0"/>
        <v>1.4537874381326876</v>
      </c>
      <c r="I11" s="189">
        <v>7.1611875782049825</v>
      </c>
      <c r="J11" s="190">
        <f t="shared" si="0"/>
        <v>1.5372558140009929E-2</v>
      </c>
      <c r="K11" s="189">
        <v>7.0496921187274779</v>
      </c>
      <c r="L11" s="190">
        <f t="shared" si="1"/>
        <v>-0.11149545947750461</v>
      </c>
      <c r="M11" s="189">
        <v>6.7263591941427618</v>
      </c>
      <c r="N11" s="190">
        <f t="shared" si="2"/>
        <v>-0.32333292458471607</v>
      </c>
    </row>
    <row r="12" spans="1:15" x14ac:dyDescent="0.25">
      <c r="A12" s="1" t="s">
        <v>79</v>
      </c>
      <c r="B12" s="119" t="s">
        <v>80</v>
      </c>
      <c r="C12" s="189" t="s">
        <v>298</v>
      </c>
      <c r="D12" s="190" t="s">
        <v>298</v>
      </c>
      <c r="E12" s="189">
        <v>5.1790914385556199</v>
      </c>
      <c r="F12" s="190" t="str">
        <f t="shared" si="0"/>
        <v>-</v>
      </c>
      <c r="G12" s="189">
        <v>6.5430669710120082</v>
      </c>
      <c r="H12" s="190">
        <f t="shared" si="0"/>
        <v>1.3639755324563883</v>
      </c>
      <c r="I12" s="189">
        <v>6.6071071115401994</v>
      </c>
      <c r="J12" s="190">
        <f t="shared" si="0"/>
        <v>6.4040140528191181E-2</v>
      </c>
      <c r="K12" s="189">
        <v>6.9559722393475543</v>
      </c>
      <c r="L12" s="190">
        <f t="shared" si="1"/>
        <v>0.3488651278073549</v>
      </c>
      <c r="M12" s="189">
        <v>6.5324405509050463</v>
      </c>
      <c r="N12" s="190">
        <f t="shared" si="2"/>
        <v>-0.42353168844250799</v>
      </c>
    </row>
    <row r="13" spans="1:15" x14ac:dyDescent="0.25">
      <c r="A13" s="1" t="s">
        <v>81</v>
      </c>
      <c r="B13" s="119" t="s">
        <v>82</v>
      </c>
      <c r="C13" s="189" t="s">
        <v>298</v>
      </c>
      <c r="D13" s="190" t="s">
        <v>298</v>
      </c>
      <c r="E13" s="189">
        <v>4.6204303863106038</v>
      </c>
      <c r="F13" s="190" t="str">
        <f t="shared" si="0"/>
        <v>-</v>
      </c>
      <c r="G13" s="189">
        <v>6.7084381642859343</v>
      </c>
      <c r="H13" s="190">
        <f t="shared" si="0"/>
        <v>2.0880077779753305</v>
      </c>
      <c r="I13" s="189">
        <v>6.9440868449374946</v>
      </c>
      <c r="J13" s="190">
        <f t="shared" si="0"/>
        <v>0.2356486806515603</v>
      </c>
      <c r="K13" s="189">
        <v>6.7511616134222852</v>
      </c>
      <c r="L13" s="190">
        <f t="shared" si="1"/>
        <v>-0.19292523151520946</v>
      </c>
      <c r="M13" s="189">
        <v>6.3569210711406177</v>
      </c>
      <c r="N13" s="190">
        <f t="shared" si="2"/>
        <v>-0.39424054228166749</v>
      </c>
    </row>
    <row r="14" spans="1:15" x14ac:dyDescent="0.25">
      <c r="A14" s="1" t="s">
        <v>83</v>
      </c>
      <c r="B14" s="119" t="s">
        <v>84</v>
      </c>
      <c r="C14" s="189" t="s">
        <v>298</v>
      </c>
      <c r="D14" s="190" t="s">
        <v>298</v>
      </c>
      <c r="E14" s="189">
        <v>5.3860594883435002</v>
      </c>
      <c r="F14" s="190" t="str">
        <f t="shared" si="0"/>
        <v>-</v>
      </c>
      <c r="G14" s="189">
        <v>6.7874628069998488</v>
      </c>
      <c r="H14" s="190">
        <f t="shared" si="0"/>
        <v>1.4014033186563486</v>
      </c>
      <c r="I14" s="189">
        <v>6.9046855643809666</v>
      </c>
      <c r="J14" s="190">
        <f t="shared" si="0"/>
        <v>0.11722275738111776</v>
      </c>
      <c r="K14" s="189">
        <v>6.9467325160948938</v>
      </c>
      <c r="L14" s="190">
        <f t="shared" si="1"/>
        <v>4.204695171392725E-2</v>
      </c>
      <c r="M14" s="189">
        <v>6.9037161585469944</v>
      </c>
      <c r="N14" s="190">
        <f t="shared" si="2"/>
        <v>-4.3016357547899453E-2</v>
      </c>
    </row>
    <row r="15" spans="1:15" x14ac:dyDescent="0.25">
      <c r="A15" s="1" t="s">
        <v>85</v>
      </c>
      <c r="B15" s="119" t="s">
        <v>86</v>
      </c>
      <c r="C15" s="189" t="s">
        <v>298</v>
      </c>
      <c r="D15" s="190" t="s">
        <v>298</v>
      </c>
      <c r="E15" s="189">
        <v>6.0443979654893756</v>
      </c>
      <c r="F15" s="190" t="str">
        <f t="shared" si="0"/>
        <v>-</v>
      </c>
      <c r="G15" s="189">
        <v>7.167841512711723</v>
      </c>
      <c r="H15" s="190">
        <f t="shared" si="0"/>
        <v>1.1234435472223474</v>
      </c>
      <c r="I15" s="189">
        <v>7.7040926272653412</v>
      </c>
      <c r="J15" s="190">
        <f t="shared" si="0"/>
        <v>0.53625111455361818</v>
      </c>
      <c r="K15" s="189">
        <v>7.3925116386568499</v>
      </c>
      <c r="L15" s="190">
        <f t="shared" si="1"/>
        <v>-0.31158098860849126</v>
      </c>
      <c r="M15" s="189">
        <v>7.3919088355262117</v>
      </c>
      <c r="N15" s="190">
        <f t="shared" si="2"/>
        <v>-6.0280313063820756E-4</v>
      </c>
    </row>
    <row r="16" spans="1:15" x14ac:dyDescent="0.25">
      <c r="A16" s="1" t="s">
        <v>87</v>
      </c>
      <c r="B16" s="119" t="s">
        <v>88</v>
      </c>
      <c r="C16" s="189">
        <v>6.2072200759666263</v>
      </c>
      <c r="D16" s="190">
        <v>-1.8809502763133246</v>
      </c>
      <c r="E16" s="189">
        <v>7.2883713042003508</v>
      </c>
      <c r="F16" s="190">
        <f t="shared" si="0"/>
        <v>1.0811512282337246</v>
      </c>
      <c r="G16" s="189">
        <v>7.5955180077018341</v>
      </c>
      <c r="H16" s="190">
        <f t="shared" si="0"/>
        <v>0.30714670350148321</v>
      </c>
      <c r="I16" s="189">
        <v>8.1097716550938816</v>
      </c>
      <c r="J16" s="190">
        <f t="shared" si="0"/>
        <v>0.5142536473920476</v>
      </c>
      <c r="K16" s="189">
        <v>7.4201266434724724</v>
      </c>
      <c r="L16" s="190">
        <f t="shared" si="1"/>
        <v>-0.68964501162140923</v>
      </c>
      <c r="M16" s="189">
        <v>7.3521215652005045</v>
      </c>
      <c r="N16" s="190">
        <f t="shared" si="2"/>
        <v>-6.8005078271967889E-2</v>
      </c>
    </row>
    <row r="17" spans="1:15" x14ac:dyDescent="0.25">
      <c r="A17" s="1" t="s">
        <v>89</v>
      </c>
      <c r="B17" s="119" t="s">
        <v>90</v>
      </c>
      <c r="C17" s="189">
        <v>5.8190319031903188</v>
      </c>
      <c r="D17" s="190">
        <v>-2.2064038579189456</v>
      </c>
      <c r="E17" s="189">
        <v>7.164842426296171</v>
      </c>
      <c r="F17" s="190">
        <f t="shared" si="0"/>
        <v>1.3458105231058521</v>
      </c>
      <c r="G17" s="189">
        <v>7.2474007241185694</v>
      </c>
      <c r="H17" s="190">
        <f t="shared" si="0"/>
        <v>8.255829782239843E-2</v>
      </c>
      <c r="I17" s="189">
        <v>7.4536678097510061</v>
      </c>
      <c r="J17" s="190">
        <f t="shared" si="0"/>
        <v>0.20626708563243668</v>
      </c>
      <c r="K17" s="189">
        <v>7.2665766981556459</v>
      </c>
      <c r="L17" s="190">
        <f t="shared" si="1"/>
        <v>-0.18709111159536018</v>
      </c>
      <c r="M17" s="189">
        <v>7.0362903573801896</v>
      </c>
      <c r="N17" s="190">
        <f t="shared" si="2"/>
        <v>-0.23028634077545629</v>
      </c>
    </row>
    <row r="18" spans="1:15" x14ac:dyDescent="0.25">
      <c r="A18" s="1" t="s">
        <v>91</v>
      </c>
      <c r="B18" s="119" t="s">
        <v>92</v>
      </c>
      <c r="C18" s="189">
        <v>4.6894435729445423</v>
      </c>
      <c r="D18" s="190">
        <v>-2.8488036638951675</v>
      </c>
      <c r="E18" s="189">
        <v>7.0135595872877472</v>
      </c>
      <c r="F18" s="190">
        <f t="shared" si="0"/>
        <v>2.3241160143432049</v>
      </c>
      <c r="G18" s="189">
        <v>7.0836770928106425</v>
      </c>
      <c r="H18" s="190">
        <f t="shared" si="0"/>
        <v>7.0117505522895307E-2</v>
      </c>
      <c r="I18" s="189">
        <v>7.2239690096301068</v>
      </c>
      <c r="J18" s="190">
        <f t="shared" si="0"/>
        <v>0.14029191681946429</v>
      </c>
      <c r="K18" s="189">
        <v>6.9581148065238247</v>
      </c>
      <c r="L18" s="190">
        <f t="shared" si="1"/>
        <v>-0.26585420310628205</v>
      </c>
      <c r="M18" s="189">
        <v>6.896675995859372</v>
      </c>
      <c r="N18" s="190">
        <f t="shared" si="2"/>
        <v>-6.1438810664452781E-2</v>
      </c>
    </row>
    <row r="19" spans="1:15" x14ac:dyDescent="0.25">
      <c r="A19" s="1" t="s">
        <v>93</v>
      </c>
      <c r="B19" s="119" t="s">
        <v>94</v>
      </c>
      <c r="C19" s="189">
        <v>6.71445023639229</v>
      </c>
      <c r="D19" s="190">
        <v>-1.0001215514342832</v>
      </c>
      <c r="E19" s="189">
        <v>7.474227037296723</v>
      </c>
      <c r="F19" s="190">
        <f t="shared" si="0"/>
        <v>0.759776800904433</v>
      </c>
      <c r="G19" s="189">
        <v>7.319989568392228</v>
      </c>
      <c r="H19" s="190">
        <f t="shared" si="0"/>
        <v>-0.15423746890449497</v>
      </c>
      <c r="I19" s="189">
        <v>7.4367055851367114</v>
      </c>
      <c r="J19" s="190">
        <f t="shared" si="0"/>
        <v>0.1167160167444834</v>
      </c>
      <c r="K19" s="189">
        <v>7.1759629902735345</v>
      </c>
      <c r="L19" s="190">
        <f t="shared" si="1"/>
        <v>-0.26074259486317697</v>
      </c>
      <c r="M19" s="189">
        <v>6.8719741841987751</v>
      </c>
      <c r="N19" s="190">
        <f t="shared" si="2"/>
        <v>-0.30398880607475931</v>
      </c>
    </row>
    <row r="20" spans="1:15" x14ac:dyDescent="0.25">
      <c r="A20" s="1" t="s">
        <v>95</v>
      </c>
      <c r="B20" s="119" t="s">
        <v>96</v>
      </c>
      <c r="C20" s="189">
        <v>6.7961834693642951</v>
      </c>
      <c r="D20" s="190">
        <v>-1.1000705546333638</v>
      </c>
      <c r="E20" s="189">
        <v>7.3496544290152812</v>
      </c>
      <c r="F20" s="190">
        <f t="shared" si="0"/>
        <v>0.55347095965098614</v>
      </c>
      <c r="G20" s="189">
        <v>7.2560849086919399</v>
      </c>
      <c r="H20" s="190">
        <f t="shared" si="0"/>
        <v>-9.3569520323341315E-2</v>
      </c>
      <c r="I20" s="189">
        <v>7.4519302269326904</v>
      </c>
      <c r="J20" s="190">
        <f t="shared" si="0"/>
        <v>0.19584531824075047</v>
      </c>
      <c r="K20" s="189">
        <v>7.2321784322217413</v>
      </c>
      <c r="L20" s="190">
        <f t="shared" si="1"/>
        <v>-0.21975179471094908</v>
      </c>
      <c r="M20" s="189">
        <v>7.2433035311117129</v>
      </c>
      <c r="N20" s="190">
        <f t="shared" si="2"/>
        <v>1.1125098889971596E-2</v>
      </c>
    </row>
    <row r="21" spans="1:15" ht="15.75" x14ac:dyDescent="0.25">
      <c r="A21" s="1" t="s">
        <v>0</v>
      </c>
      <c r="B21" s="122" t="s">
        <v>33</v>
      </c>
      <c r="C21" s="191">
        <v>7.6155004062928775</v>
      </c>
      <c r="D21" s="192">
        <v>-0.15230900889600463</v>
      </c>
      <c r="E21" s="191">
        <v>6.8402382490482632</v>
      </c>
      <c r="F21" s="192">
        <f t="shared" si="0"/>
        <v>-0.77526215724461434</v>
      </c>
      <c r="G21" s="191">
        <v>7.1290659289847085</v>
      </c>
      <c r="H21" s="192">
        <f t="shared" si="0"/>
        <v>0.28882767993644531</v>
      </c>
      <c r="I21" s="191">
        <v>7.3769342975031353</v>
      </c>
      <c r="J21" s="192">
        <f t="shared" si="0"/>
        <v>0.24786836851842686</v>
      </c>
      <c r="K21" s="191">
        <v>7.2151283150609418</v>
      </c>
      <c r="L21" s="192">
        <f t="shared" si="1"/>
        <v>-0.16180598244219357</v>
      </c>
      <c r="M21" s="191">
        <v>7.0304533997772856</v>
      </c>
      <c r="N21" s="192">
        <v>-0.1846749152836562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5" spans="1:15" x14ac:dyDescent="0.25">
      <c r="B25" t="s">
        <v>12</v>
      </c>
    </row>
    <row r="26" spans="1:15" ht="59.25" customHeight="1" thickBot="1" x14ac:dyDescent="0.3">
      <c r="B26" s="283" t="s">
        <v>300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CONCATENATE("dif ",RIGHT(M29,2),"/",RIGHT(K29,2))</f>
        <v>dif 25/24</v>
      </c>
    </row>
    <row r="31" spans="1:15" x14ac:dyDescent="0.25">
      <c r="B31" s="119" t="s">
        <v>74</v>
      </c>
      <c r="C31" s="189">
        <v>6.760768126346016</v>
      </c>
      <c r="D31" s="190">
        <v>0.82358680878533885</v>
      </c>
      <c r="E31" s="189">
        <v>2.9690666666666665</v>
      </c>
      <c r="F31" s="190">
        <f t="shared" ref="F31:J43" si="3">IFERROR(E31-C31,"-")</f>
        <v>-3.7917014596793495</v>
      </c>
      <c r="G31" s="189">
        <v>5.5555555555555554</v>
      </c>
      <c r="H31" s="190">
        <f t="shared" si="3"/>
        <v>2.5864888888888888</v>
      </c>
      <c r="I31" s="189">
        <v>5.5796133567662567</v>
      </c>
      <c r="J31" s="190">
        <f t="shared" si="3"/>
        <v>2.4057801210701335E-2</v>
      </c>
      <c r="K31" s="189">
        <v>6.9739428571428572</v>
      </c>
      <c r="L31" s="190">
        <f t="shared" ref="L31:N43" si="4">IFERROR(K31-I31,"-")</f>
        <v>1.3943295003766005</v>
      </c>
      <c r="M31" s="189">
        <v>6.1684782608695654</v>
      </c>
      <c r="N31" s="190">
        <f t="shared" si="4"/>
        <v>-0.80546459627329181</v>
      </c>
    </row>
    <row r="32" spans="1:15" x14ac:dyDescent="0.25">
      <c r="B32" s="119" t="s">
        <v>76</v>
      </c>
      <c r="C32" s="189">
        <v>5.0345876701361085</v>
      </c>
      <c r="D32" s="190">
        <v>-0.56218652341227848</v>
      </c>
      <c r="E32" s="189">
        <v>2.6767744085304899</v>
      </c>
      <c r="F32" s="190">
        <f t="shared" si="3"/>
        <v>-2.3578132616056187</v>
      </c>
      <c r="G32" s="189">
        <v>4.0021885521885521</v>
      </c>
      <c r="H32" s="190">
        <f t="shared" si="3"/>
        <v>1.3254141436580622</v>
      </c>
      <c r="I32" s="189">
        <v>5.0381155303030303</v>
      </c>
      <c r="J32" s="190">
        <f t="shared" si="3"/>
        <v>1.0359269781144782</v>
      </c>
      <c r="K32" s="189">
        <v>5.4027580612451835</v>
      </c>
      <c r="L32" s="190">
        <f t="shared" si="4"/>
        <v>0.36464253094215326</v>
      </c>
      <c r="M32" s="189">
        <v>5.4040744021257749</v>
      </c>
      <c r="N32" s="190">
        <f t="shared" si="4"/>
        <v>1.3163408805914045E-3</v>
      </c>
    </row>
    <row r="33" spans="2:15" x14ac:dyDescent="0.25">
      <c r="B33" s="119" t="s">
        <v>78</v>
      </c>
      <c r="C33" s="189">
        <v>6.5454119850187267</v>
      </c>
      <c r="D33" s="190">
        <v>1.84229126232505</v>
      </c>
      <c r="E33" s="189">
        <v>2.8041892209931749</v>
      </c>
      <c r="F33" s="190">
        <f t="shared" si="3"/>
        <v>-3.7412227640255518</v>
      </c>
      <c r="G33" s="189">
        <v>4.7348951911220718</v>
      </c>
      <c r="H33" s="190">
        <f t="shared" si="3"/>
        <v>1.9307059701288969</v>
      </c>
      <c r="I33" s="189">
        <v>3.8983811508254527</v>
      </c>
      <c r="J33" s="190">
        <f t="shared" si="3"/>
        <v>-0.83651404029661913</v>
      </c>
      <c r="K33" s="189">
        <v>4.4575552755183869</v>
      </c>
      <c r="L33" s="190">
        <f t="shared" si="4"/>
        <v>0.55917412469293426</v>
      </c>
      <c r="M33" s="189">
        <v>5.2488552307150407</v>
      </c>
      <c r="N33" s="190">
        <f t="shared" si="4"/>
        <v>0.79129995519665375</v>
      </c>
    </row>
    <row r="34" spans="2:15" x14ac:dyDescent="0.25">
      <c r="B34" s="119" t="s">
        <v>80</v>
      </c>
      <c r="C34" s="189" t="s">
        <v>298</v>
      </c>
      <c r="D34" s="190" t="s">
        <v>298</v>
      </c>
      <c r="E34" s="189">
        <v>2.8363602668643439</v>
      </c>
      <c r="F34" s="190" t="str">
        <f>IFERROR(E34-C34,"-")</f>
        <v>-</v>
      </c>
      <c r="G34" s="189">
        <v>3.6411368735976066</v>
      </c>
      <c r="H34" s="190">
        <f>IFERROR(G34-E34,"-")</f>
        <v>0.80477660673326268</v>
      </c>
      <c r="I34" s="189">
        <v>3.6246361991662077</v>
      </c>
      <c r="J34" s="190">
        <f>IFERROR(I34-G34,"-")</f>
        <v>-1.650067443139891E-2</v>
      </c>
      <c r="K34" s="189">
        <v>4.6420082464225079</v>
      </c>
      <c r="L34" s="190">
        <f>IFERROR(K34-I34,"-")</f>
        <v>1.0173720472563001</v>
      </c>
      <c r="M34" s="189">
        <v>4.2120521684475172</v>
      </c>
      <c r="N34" s="190">
        <f t="shared" si="4"/>
        <v>-0.42995607797499069</v>
      </c>
    </row>
    <row r="35" spans="2:15" x14ac:dyDescent="0.25">
      <c r="B35" s="119" t="s">
        <v>82</v>
      </c>
      <c r="C35" s="189" t="s">
        <v>298</v>
      </c>
      <c r="D35" s="190" t="s">
        <v>298</v>
      </c>
      <c r="E35" s="189">
        <v>2.8338310205515547</v>
      </c>
      <c r="F35" s="190" t="str">
        <f t="shared" si="3"/>
        <v>-</v>
      </c>
      <c r="G35" s="189">
        <v>3.4796167758334149</v>
      </c>
      <c r="H35" s="190">
        <f t="shared" si="3"/>
        <v>0.64578575528186022</v>
      </c>
      <c r="I35" s="189">
        <v>3.6548551535496707</v>
      </c>
      <c r="J35" s="190">
        <f t="shared" si="3"/>
        <v>0.17523837771625583</v>
      </c>
      <c r="K35" s="189">
        <v>4.3112755314714466</v>
      </c>
      <c r="L35" s="190">
        <f t="shared" si="4"/>
        <v>0.65642037792177588</v>
      </c>
      <c r="M35" s="189">
        <v>3.7361950185479595</v>
      </c>
      <c r="N35" s="190">
        <f t="shared" si="4"/>
        <v>-0.57508051292348705</v>
      </c>
    </row>
    <row r="36" spans="2:15" x14ac:dyDescent="0.25">
      <c r="B36" s="119" t="s">
        <v>84</v>
      </c>
      <c r="C36" s="189" t="s">
        <v>298</v>
      </c>
      <c r="D36" s="190" t="s">
        <v>298</v>
      </c>
      <c r="E36" s="189">
        <v>3.6374367622259696</v>
      </c>
      <c r="F36" s="190" t="str">
        <f t="shared" si="3"/>
        <v>-</v>
      </c>
      <c r="G36" s="189">
        <v>3.7317953020134227</v>
      </c>
      <c r="H36" s="190">
        <f t="shared" si="3"/>
        <v>9.4358539787453122E-2</v>
      </c>
      <c r="I36" s="189">
        <v>3.624319271722344</v>
      </c>
      <c r="J36" s="190">
        <f t="shared" si="3"/>
        <v>-0.10747603029107866</v>
      </c>
      <c r="K36" s="189">
        <v>4.4162603150787696</v>
      </c>
      <c r="L36" s="190">
        <f t="shared" si="4"/>
        <v>0.79194104335642557</v>
      </c>
      <c r="M36" s="189">
        <v>4.5514009933464532</v>
      </c>
      <c r="N36" s="190">
        <f t="shared" si="4"/>
        <v>0.13514067826768361</v>
      </c>
    </row>
    <row r="37" spans="2:15" x14ac:dyDescent="0.25">
      <c r="B37" s="119" t="s">
        <v>86</v>
      </c>
      <c r="C37" s="189" t="s">
        <v>298</v>
      </c>
      <c r="D37" s="190" t="s">
        <v>298</v>
      </c>
      <c r="E37" s="189">
        <v>4.3441689240814059</v>
      </c>
      <c r="F37" s="190" t="str">
        <f t="shared" si="3"/>
        <v>-</v>
      </c>
      <c r="G37" s="189">
        <v>3.8822834434240909</v>
      </c>
      <c r="H37" s="190">
        <f t="shared" si="3"/>
        <v>-0.46188548065731494</v>
      </c>
      <c r="I37" s="189">
        <v>4.4907068150023317</v>
      </c>
      <c r="J37" s="190">
        <f t="shared" si="3"/>
        <v>0.60842337157824078</v>
      </c>
      <c r="K37" s="189">
        <v>4.9601563571526537</v>
      </c>
      <c r="L37" s="190">
        <f t="shared" si="4"/>
        <v>0.46944954215032197</v>
      </c>
      <c r="M37" s="189">
        <v>5.343021561771562</v>
      </c>
      <c r="N37" s="190">
        <f t="shared" si="4"/>
        <v>0.38286520461890827</v>
      </c>
    </row>
    <row r="38" spans="2:15" x14ac:dyDescent="0.25">
      <c r="B38" s="119" t="s">
        <v>88</v>
      </c>
      <c r="C38" s="189">
        <v>4.6143269522941353</v>
      </c>
      <c r="D38" s="190">
        <v>-0.50104136966397217</v>
      </c>
      <c r="E38" s="189">
        <v>5.4277981213182613</v>
      </c>
      <c r="F38" s="190">
        <f t="shared" si="3"/>
        <v>0.81347116902412608</v>
      </c>
      <c r="G38" s="189">
        <v>4.4554703476482613</v>
      </c>
      <c r="H38" s="190">
        <f t="shared" si="3"/>
        <v>-0.97232777367000001</v>
      </c>
      <c r="I38" s="189">
        <v>6.6265664160401005</v>
      </c>
      <c r="J38" s="190">
        <f t="shared" si="3"/>
        <v>2.1710960683918392</v>
      </c>
      <c r="K38" s="189">
        <v>4.7279829175563775</v>
      </c>
      <c r="L38" s="190">
        <f t="shared" si="4"/>
        <v>-1.8985834984837231</v>
      </c>
      <c r="M38" s="189">
        <v>4.8417058390440051</v>
      </c>
      <c r="N38" s="190">
        <f t="shared" si="4"/>
        <v>0.11372292148762764</v>
      </c>
    </row>
    <row r="39" spans="2:15" x14ac:dyDescent="0.25">
      <c r="B39" s="119" t="s">
        <v>90</v>
      </c>
      <c r="C39" s="189">
        <v>4.3455778468493929</v>
      </c>
      <c r="D39" s="190">
        <v>-0.43990671575781093</v>
      </c>
      <c r="E39" s="189">
        <v>4.9467008029791693</v>
      </c>
      <c r="F39" s="190">
        <f t="shared" si="3"/>
        <v>0.6011229561297764</v>
      </c>
      <c r="G39" s="189">
        <v>4.1337996184939598</v>
      </c>
      <c r="H39" s="190">
        <f t="shared" si="3"/>
        <v>-0.81290118448520943</v>
      </c>
      <c r="I39" s="189">
        <v>5.0893605138229541</v>
      </c>
      <c r="J39" s="190">
        <f t="shared" si="3"/>
        <v>0.95556089532899424</v>
      </c>
      <c r="K39" s="189">
        <v>4.7429580738124013</v>
      </c>
      <c r="L39" s="190">
        <f t="shared" si="4"/>
        <v>-0.34640244001055276</v>
      </c>
      <c r="M39" s="189">
        <v>4.6968478082416683</v>
      </c>
      <c r="N39" s="190">
        <f t="shared" si="4"/>
        <v>-4.6110265570733056E-2</v>
      </c>
    </row>
    <row r="40" spans="2:15" x14ac:dyDescent="0.25">
      <c r="B40" s="119" t="s">
        <v>92</v>
      </c>
      <c r="C40" s="189">
        <v>3.6897439197014541</v>
      </c>
      <c r="D40" s="190">
        <v>-1.0349304313434335</v>
      </c>
      <c r="E40" s="189">
        <v>4.7896052631578945</v>
      </c>
      <c r="F40" s="190">
        <f t="shared" si="3"/>
        <v>1.0998613434564404</v>
      </c>
      <c r="G40" s="189">
        <v>4.0372852953498111</v>
      </c>
      <c r="H40" s="190">
        <f t="shared" si="3"/>
        <v>-0.75231996780808341</v>
      </c>
      <c r="I40" s="189">
        <v>4.4011691271178046</v>
      </c>
      <c r="J40" s="190">
        <f t="shared" si="3"/>
        <v>0.36388383176799355</v>
      </c>
      <c r="K40" s="189">
        <v>4.4360825790704768</v>
      </c>
      <c r="L40" s="190">
        <f t="shared" si="4"/>
        <v>3.4913451952672148E-2</v>
      </c>
      <c r="M40" s="189">
        <v>4.5647614548889939</v>
      </c>
      <c r="N40" s="190">
        <f t="shared" si="4"/>
        <v>0.12867887581851711</v>
      </c>
    </row>
    <row r="41" spans="2:15" x14ac:dyDescent="0.25">
      <c r="B41" s="119" t="s">
        <v>94</v>
      </c>
      <c r="C41" s="189">
        <v>4.1041587180465475</v>
      </c>
      <c r="D41" s="190">
        <v>-0.99736279297129116</v>
      </c>
      <c r="E41" s="189">
        <v>4.617627567925779</v>
      </c>
      <c r="F41" s="190">
        <f t="shared" si="3"/>
        <v>0.51346884987923147</v>
      </c>
      <c r="G41" s="189">
        <v>5.1769686706181206</v>
      </c>
      <c r="H41" s="190">
        <f t="shared" si="3"/>
        <v>0.55934110269234161</v>
      </c>
      <c r="I41" s="189">
        <v>5.175188719555619</v>
      </c>
      <c r="J41" s="190">
        <f t="shared" si="3"/>
        <v>-1.7799510625016168E-3</v>
      </c>
      <c r="K41" s="189">
        <v>4.5135178889428529</v>
      </c>
      <c r="L41" s="190">
        <f t="shared" si="4"/>
        <v>-0.6616708306127661</v>
      </c>
      <c r="M41" s="189">
        <v>5.4716404886561953</v>
      </c>
      <c r="N41" s="190">
        <f t="shared" si="4"/>
        <v>0.95812259971334246</v>
      </c>
    </row>
    <row r="42" spans="2:15" x14ac:dyDescent="0.25">
      <c r="B42" s="119" t="s">
        <v>96</v>
      </c>
      <c r="C42" s="189">
        <v>3.6467040068935805</v>
      </c>
      <c r="D42" s="190">
        <v>-1.0995027261552579</v>
      </c>
      <c r="E42" s="189">
        <v>4.3334217154978125</v>
      </c>
      <c r="F42" s="190">
        <f t="shared" si="3"/>
        <v>0.68671770860423198</v>
      </c>
      <c r="G42" s="189">
        <v>4.5729776891437117</v>
      </c>
      <c r="H42" s="190">
        <f t="shared" si="3"/>
        <v>0.2395559736458992</v>
      </c>
      <c r="I42" s="189">
        <v>6.1214965803942603</v>
      </c>
      <c r="J42" s="190">
        <f t="shared" si="3"/>
        <v>1.5485188912505485</v>
      </c>
      <c r="K42" s="189">
        <v>5.4963532687972414</v>
      </c>
      <c r="L42" s="190">
        <f t="shared" si="4"/>
        <v>-0.62514331159701886</v>
      </c>
      <c r="M42" s="189">
        <v>5.3393802966101696</v>
      </c>
      <c r="N42" s="190">
        <f t="shared" si="4"/>
        <v>-0.15697297218707185</v>
      </c>
    </row>
    <row r="43" spans="2:15" ht="15.75" x14ac:dyDescent="0.25">
      <c r="B43" s="122" t="s">
        <v>33</v>
      </c>
      <c r="C43" s="191">
        <v>4.6644126738794434</v>
      </c>
      <c r="D43" s="192">
        <v>-0.14340150085201309</v>
      </c>
      <c r="E43" s="191">
        <v>4.2036948291560838</v>
      </c>
      <c r="F43" s="192">
        <f t="shared" si="3"/>
        <v>-0.46071784472335953</v>
      </c>
      <c r="G43" s="191">
        <v>4.1404910004759943</v>
      </c>
      <c r="H43" s="192">
        <f t="shared" si="3"/>
        <v>-6.3203828680089558E-2</v>
      </c>
      <c r="I43" s="191">
        <v>4.8382334479901576</v>
      </c>
      <c r="J43" s="192">
        <f t="shared" si="3"/>
        <v>0.69774244751416337</v>
      </c>
      <c r="K43" s="191">
        <v>4.7969589643380557</v>
      </c>
      <c r="L43" s="192">
        <f t="shared" si="4"/>
        <v>-4.1274483652101956E-2</v>
      </c>
      <c r="M43" s="191">
        <v>4.8547570122698867</v>
      </c>
      <c r="N43" s="192">
        <v>5.7798047931830965E-2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301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CONCATENATE("dif ",RIGHT(M51,2),"/",RIGHT(K51,2))</f>
        <v>dif 25/24</v>
      </c>
    </row>
    <row r="53" spans="1:15" x14ac:dyDescent="0.25">
      <c r="A53" s="1">
        <v>1</v>
      </c>
      <c r="B53" s="119" t="s">
        <v>74</v>
      </c>
      <c r="C53" s="189">
        <v>6.4704109589041092</v>
      </c>
      <c r="D53" s="190">
        <v>0.21609950459265459</v>
      </c>
      <c r="E53" s="189">
        <v>6.2305084745762711</v>
      </c>
      <c r="F53" s="190">
        <f t="shared" ref="F53:J65" si="5">IFERROR(E53-C53,"-")</f>
        <v>-0.23990248432783812</v>
      </c>
      <c r="G53" s="189">
        <v>6.2981175566653862</v>
      </c>
      <c r="H53" s="190">
        <f t="shared" si="5"/>
        <v>6.7609082089115091E-2</v>
      </c>
      <c r="I53" s="189">
        <v>5.8958968347010554</v>
      </c>
      <c r="J53" s="190">
        <f t="shared" si="5"/>
        <v>-0.40222072196433079</v>
      </c>
      <c r="K53" s="189">
        <v>5.7822028624766642</v>
      </c>
      <c r="L53" s="190">
        <f t="shared" ref="L53:N65" si="6">IFERROR(K53-I53,"-")</f>
        <v>-0.11369397222439126</v>
      </c>
      <c r="M53" s="189">
        <v>5.7631790206047633</v>
      </c>
      <c r="N53" s="190">
        <f t="shared" si="6"/>
        <v>-1.9023841871900871E-2</v>
      </c>
    </row>
    <row r="54" spans="1:15" x14ac:dyDescent="0.25">
      <c r="A54" s="1">
        <v>2</v>
      </c>
      <c r="B54" s="119" t="s">
        <v>76</v>
      </c>
      <c r="C54" s="189">
        <v>5.418016194331984</v>
      </c>
      <c r="D54" s="190">
        <v>-7.3868386371352734E-2</v>
      </c>
      <c r="E54" s="189">
        <v>4.1800554016620497</v>
      </c>
      <c r="F54" s="190">
        <f t="shared" si="5"/>
        <v>-1.2379607926699343</v>
      </c>
      <c r="G54" s="189">
        <v>4.7242679037402144</v>
      </c>
      <c r="H54" s="190">
        <f t="shared" si="5"/>
        <v>0.54421250207816474</v>
      </c>
      <c r="I54" s="189">
        <v>5.6632508833922257</v>
      </c>
      <c r="J54" s="190">
        <f t="shared" si="5"/>
        <v>0.93898297965201127</v>
      </c>
      <c r="K54" s="189">
        <v>5.2402392947103271</v>
      </c>
      <c r="L54" s="190">
        <f t="shared" si="6"/>
        <v>-0.42301158868189859</v>
      </c>
      <c r="M54" s="189">
        <v>5.3658263305322125</v>
      </c>
      <c r="N54" s="190">
        <f t="shared" si="6"/>
        <v>0.12558703582188535</v>
      </c>
    </row>
    <row r="55" spans="1:15" x14ac:dyDescent="0.25">
      <c r="A55" s="1">
        <v>3</v>
      </c>
      <c r="B55" s="119" t="s">
        <v>78</v>
      </c>
      <c r="C55" s="189">
        <v>5.7727987421383649</v>
      </c>
      <c r="D55" s="190">
        <v>1.456709129103742</v>
      </c>
      <c r="E55" s="189">
        <v>5.1527446300715987</v>
      </c>
      <c r="F55" s="190">
        <f t="shared" si="5"/>
        <v>-0.62005411206676619</v>
      </c>
      <c r="G55" s="189">
        <v>5.6271498771498774</v>
      </c>
      <c r="H55" s="190">
        <f t="shared" si="5"/>
        <v>0.47440524707827869</v>
      </c>
      <c r="I55" s="189">
        <v>4.3027632205812294</v>
      </c>
      <c r="J55" s="190">
        <f t="shared" si="5"/>
        <v>-1.324386656568648</v>
      </c>
      <c r="K55" s="189">
        <v>4.2800166181969255</v>
      </c>
      <c r="L55" s="190">
        <f t="shared" si="6"/>
        <v>-2.2746602384303927E-2</v>
      </c>
      <c r="M55" s="189">
        <v>5.0126378058617904</v>
      </c>
      <c r="N55" s="190">
        <f t="shared" si="6"/>
        <v>0.73262118766486495</v>
      </c>
    </row>
    <row r="56" spans="1:15" x14ac:dyDescent="0.25">
      <c r="A56" s="1">
        <v>4</v>
      </c>
      <c r="B56" s="119" t="s">
        <v>80</v>
      </c>
      <c r="C56" s="189" t="s">
        <v>298</v>
      </c>
      <c r="D56" s="190" t="s">
        <v>298</v>
      </c>
      <c r="E56" s="189">
        <v>4.6789340101522843</v>
      </c>
      <c r="F56" s="190" t="str">
        <f>IFERROR(E56-C56,"-")</f>
        <v>-</v>
      </c>
      <c r="G56" s="189">
        <v>4.0749454280863446</v>
      </c>
      <c r="H56" s="190">
        <f>IFERROR(G56-E56,"-")</f>
        <v>-0.60398858206593964</v>
      </c>
      <c r="I56" s="189">
        <v>4.441545480467636</v>
      </c>
      <c r="J56" s="190">
        <f>IFERROR(I56-G56,"-")</f>
        <v>0.36660005238129134</v>
      </c>
      <c r="K56" s="189">
        <v>4.3705595542140703</v>
      </c>
      <c r="L56" s="190">
        <f>IFERROR(K56-I56,"-")</f>
        <v>-7.0985926253565701E-2</v>
      </c>
      <c r="M56" s="189">
        <v>4.5057225698153518</v>
      </c>
      <c r="N56" s="190">
        <f t="shared" si="6"/>
        <v>0.13516301560128152</v>
      </c>
    </row>
    <row r="57" spans="1:15" x14ac:dyDescent="0.25">
      <c r="A57" s="1">
        <v>5</v>
      </c>
      <c r="B57" s="119" t="s">
        <v>82</v>
      </c>
      <c r="C57" s="189" t="s">
        <v>298</v>
      </c>
      <c r="D57" s="190" t="s">
        <v>298</v>
      </c>
      <c r="E57" s="189">
        <v>4.5305245055889936</v>
      </c>
      <c r="F57" s="190" t="str">
        <f t="shared" si="5"/>
        <v>-</v>
      </c>
      <c r="G57" s="189">
        <v>4.0293577981651376</v>
      </c>
      <c r="H57" s="190">
        <f t="shared" si="5"/>
        <v>-0.50116670742385594</v>
      </c>
      <c r="I57" s="189">
        <v>4.5702598652550526</v>
      </c>
      <c r="J57" s="190">
        <f t="shared" si="5"/>
        <v>0.54090206708991495</v>
      </c>
      <c r="K57" s="189">
        <v>4.1132490379329303</v>
      </c>
      <c r="L57" s="190">
        <f t="shared" si="6"/>
        <v>-0.45701082732212228</v>
      </c>
      <c r="M57" s="189">
        <v>4.6648629778320823</v>
      </c>
      <c r="N57" s="190">
        <f t="shared" si="6"/>
        <v>0.55161393989915197</v>
      </c>
    </row>
    <row r="58" spans="1:15" x14ac:dyDescent="0.25">
      <c r="A58" s="1">
        <v>6</v>
      </c>
      <c r="B58" s="119" t="s">
        <v>84</v>
      </c>
      <c r="C58" s="189" t="s">
        <v>298</v>
      </c>
      <c r="D58" s="190" t="s">
        <v>298</v>
      </c>
      <c r="E58" s="189">
        <v>5.6843838193791161</v>
      </c>
      <c r="F58" s="190" t="str">
        <f t="shared" si="5"/>
        <v>-</v>
      </c>
      <c r="G58" s="189">
        <v>4.052148918696961</v>
      </c>
      <c r="H58" s="190">
        <f t="shared" si="5"/>
        <v>-1.632234900682155</v>
      </c>
      <c r="I58" s="189">
        <v>3.9241338112305852</v>
      </c>
      <c r="J58" s="190">
        <f t="shared" si="5"/>
        <v>-0.12801510746637579</v>
      </c>
      <c r="K58" s="189">
        <v>4.4874932517545441</v>
      </c>
      <c r="L58" s="190">
        <f t="shared" si="6"/>
        <v>0.56335944052395881</v>
      </c>
      <c r="M58" s="189">
        <v>4.916278295605859</v>
      </c>
      <c r="N58" s="190">
        <f t="shared" si="6"/>
        <v>0.428785043851315</v>
      </c>
    </row>
    <row r="59" spans="1:15" x14ac:dyDescent="0.25">
      <c r="A59" s="1">
        <v>7</v>
      </c>
      <c r="B59" s="119" t="s">
        <v>86</v>
      </c>
      <c r="C59" s="189" t="s">
        <v>298</v>
      </c>
      <c r="D59" s="190" t="s">
        <v>298</v>
      </c>
      <c r="E59" s="189">
        <v>5.4066531944660348</v>
      </c>
      <c r="F59" s="190" t="str">
        <f t="shared" si="5"/>
        <v>-</v>
      </c>
      <c r="G59" s="189">
        <v>4.3680290297937354</v>
      </c>
      <c r="H59" s="190">
        <f t="shared" si="5"/>
        <v>-1.0386241646722993</v>
      </c>
      <c r="I59" s="189">
        <v>4.8478407103457553</v>
      </c>
      <c r="J59" s="190">
        <f t="shared" si="5"/>
        <v>0.47981168055201984</v>
      </c>
      <c r="K59" s="189">
        <v>5.1919989472298989</v>
      </c>
      <c r="L59" s="190">
        <f t="shared" si="6"/>
        <v>0.3441582368841436</v>
      </c>
      <c r="M59" s="189">
        <v>5.6477197620621284</v>
      </c>
      <c r="N59" s="190">
        <f t="shared" si="6"/>
        <v>0.45572081483222959</v>
      </c>
    </row>
    <row r="60" spans="1:15" x14ac:dyDescent="0.25">
      <c r="A60" s="1">
        <v>8</v>
      </c>
      <c r="B60" s="119" t="s">
        <v>88</v>
      </c>
      <c r="C60" s="189">
        <v>6.1453225806451615</v>
      </c>
      <c r="D60" s="190">
        <v>0.53004384699065366</v>
      </c>
      <c r="E60" s="189">
        <v>6.0862650602409643</v>
      </c>
      <c r="F60" s="190">
        <f t="shared" si="5"/>
        <v>-5.9057520404197206E-2</v>
      </c>
      <c r="G60" s="189">
        <v>5.2447577406977786</v>
      </c>
      <c r="H60" s="190">
        <f t="shared" si="5"/>
        <v>-0.84150731954318569</v>
      </c>
      <c r="I60" s="189">
        <v>8.7609565950273911</v>
      </c>
      <c r="J60" s="190">
        <f t="shared" si="5"/>
        <v>3.5161988543296125</v>
      </c>
      <c r="K60" s="189">
        <v>5.306243386243386</v>
      </c>
      <c r="L60" s="190">
        <f t="shared" si="6"/>
        <v>-3.4547132087840051</v>
      </c>
      <c r="M60" s="189">
        <v>5.8780240801170249</v>
      </c>
      <c r="N60" s="190">
        <f t="shared" si="6"/>
        <v>0.57178069387363895</v>
      </c>
    </row>
    <row r="61" spans="1:15" x14ac:dyDescent="0.25">
      <c r="A61" s="1">
        <v>9</v>
      </c>
      <c r="B61" s="119" t="s">
        <v>90</v>
      </c>
      <c r="C61" s="189">
        <v>5.920080591000672</v>
      </c>
      <c r="D61" s="190">
        <v>0.24230281322289393</v>
      </c>
      <c r="E61" s="189">
        <v>5.9526781071242851</v>
      </c>
      <c r="F61" s="190">
        <f t="shared" si="5"/>
        <v>3.2597516123613168E-2</v>
      </c>
      <c r="G61" s="189">
        <v>4.8726756564939677</v>
      </c>
      <c r="H61" s="190">
        <f t="shared" si="5"/>
        <v>-1.0800024506303174</v>
      </c>
      <c r="I61" s="189">
        <v>4.5549738219895284</v>
      </c>
      <c r="J61" s="190">
        <f t="shared" si="5"/>
        <v>-0.31770183450443934</v>
      </c>
      <c r="K61" s="189">
        <v>4.8253863860572181</v>
      </c>
      <c r="L61" s="190">
        <f t="shared" si="6"/>
        <v>0.27041256406768976</v>
      </c>
      <c r="M61" s="189">
        <v>5.5147271849348138</v>
      </c>
      <c r="N61" s="190">
        <f t="shared" si="6"/>
        <v>0.6893407988775957</v>
      </c>
    </row>
    <row r="62" spans="1:15" x14ac:dyDescent="0.25">
      <c r="A62" s="1">
        <v>10</v>
      </c>
      <c r="B62" s="119" t="s">
        <v>92</v>
      </c>
      <c r="C62" s="189">
        <v>4.9292088042831645</v>
      </c>
      <c r="D62" s="190">
        <v>-0.64975602650648412</v>
      </c>
      <c r="E62" s="189">
        <v>5.2199030149694288</v>
      </c>
      <c r="F62" s="190">
        <f t="shared" si="5"/>
        <v>0.29069421068626422</v>
      </c>
      <c r="G62" s="189">
        <v>4.3959196195735544</v>
      </c>
      <c r="H62" s="190">
        <f t="shared" si="5"/>
        <v>-0.8239833953958744</v>
      </c>
      <c r="I62" s="189">
        <v>4.2007654836464861</v>
      </c>
      <c r="J62" s="190">
        <f t="shared" si="5"/>
        <v>-0.19515413592706832</v>
      </c>
      <c r="K62" s="189">
        <v>4.5680960548885077</v>
      </c>
      <c r="L62" s="190">
        <f t="shared" si="6"/>
        <v>0.36733057124202162</v>
      </c>
      <c r="M62" s="189">
        <v>5.2534092870706024</v>
      </c>
      <c r="N62" s="190">
        <f t="shared" si="6"/>
        <v>0.68531323218209472</v>
      </c>
    </row>
    <row r="63" spans="1:15" x14ac:dyDescent="0.25">
      <c r="A63" s="1">
        <v>11</v>
      </c>
      <c r="B63" s="119" t="s">
        <v>94</v>
      </c>
      <c r="C63" s="189">
        <v>4.4172297297297298</v>
      </c>
      <c r="D63" s="190">
        <v>-1.1755172481777318</v>
      </c>
      <c r="E63" s="189">
        <v>5.3574163900944605</v>
      </c>
      <c r="F63" s="190">
        <f t="shared" si="5"/>
        <v>0.94018666036473064</v>
      </c>
      <c r="G63" s="189">
        <v>5.6564042303172739</v>
      </c>
      <c r="H63" s="190">
        <f t="shared" si="5"/>
        <v>0.29898784022281344</v>
      </c>
      <c r="I63" s="189">
        <v>4.7480719794344477</v>
      </c>
      <c r="J63" s="190">
        <f t="shared" si="5"/>
        <v>-0.90833225088282621</v>
      </c>
      <c r="K63" s="189">
        <v>4.9095318942517583</v>
      </c>
      <c r="L63" s="190">
        <f t="shared" si="6"/>
        <v>0.16145991481731059</v>
      </c>
      <c r="M63" s="189">
        <v>5.0139211136890953</v>
      </c>
      <c r="N63" s="190">
        <f t="shared" si="6"/>
        <v>0.10438921943733703</v>
      </c>
    </row>
    <row r="64" spans="1:15" x14ac:dyDescent="0.25">
      <c r="A64" s="1">
        <v>12</v>
      </c>
      <c r="B64" s="119" t="s">
        <v>96</v>
      </c>
      <c r="C64" s="189">
        <v>4.6758080313418215</v>
      </c>
      <c r="D64" s="190">
        <v>-0.57434844676239738</v>
      </c>
      <c r="E64" s="189">
        <v>4.9493049877350774</v>
      </c>
      <c r="F64" s="190">
        <f t="shared" si="5"/>
        <v>0.27349695639325589</v>
      </c>
      <c r="G64" s="189">
        <v>5.0190114068441067</v>
      </c>
      <c r="H64" s="190">
        <f t="shared" si="5"/>
        <v>6.9706419109029305E-2</v>
      </c>
      <c r="I64" s="189">
        <v>6.695100988397078</v>
      </c>
      <c r="J64" s="190">
        <f t="shared" si="5"/>
        <v>1.6760895815529713</v>
      </c>
      <c r="K64" s="189">
        <v>5.164757342220371</v>
      </c>
      <c r="L64" s="190">
        <f t="shared" si="6"/>
        <v>-1.530343646176707</v>
      </c>
      <c r="M64" s="189">
        <v>5.5156898938624828</v>
      </c>
      <c r="N64" s="190">
        <f t="shared" si="6"/>
        <v>0.35093255164211179</v>
      </c>
    </row>
    <row r="65" spans="1:15" ht="15.75" x14ac:dyDescent="0.25">
      <c r="B65" s="122" t="s">
        <v>33</v>
      </c>
      <c r="C65" s="191">
        <v>5.5458879618593562</v>
      </c>
      <c r="D65" s="192">
        <v>0.26439079225770357</v>
      </c>
      <c r="E65" s="191">
        <v>5.4971239933976888</v>
      </c>
      <c r="F65" s="192">
        <f t="shared" si="5"/>
        <v>-4.8763968461667417E-2</v>
      </c>
      <c r="G65" s="191">
        <v>4.7208563481287156</v>
      </c>
      <c r="H65" s="192">
        <f t="shared" si="5"/>
        <v>-0.77626764526897318</v>
      </c>
      <c r="I65" s="191">
        <v>5.3578061216860808</v>
      </c>
      <c r="J65" s="192">
        <f t="shared" si="5"/>
        <v>0.63694977355736526</v>
      </c>
      <c r="K65" s="191">
        <v>4.8541220307405686</v>
      </c>
      <c r="L65" s="192">
        <f t="shared" si="6"/>
        <v>-0.50368409094551225</v>
      </c>
      <c r="M65" s="191">
        <v>5.2724498496611769</v>
      </c>
      <c r="N65" s="192">
        <v>0.41832781892060833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70" spans="1:15" ht="48.75" customHeight="1" thickBot="1" x14ac:dyDescent="0.3">
      <c r="B70" s="283" t="s">
        <v>302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CONCATENATE("dif ",RIGHT(M73,2),"/",RIGHT(K73,2))</f>
        <v>dif 25/24</v>
      </c>
    </row>
    <row r="75" spans="1:15" x14ac:dyDescent="0.25">
      <c r="A75" s="1">
        <v>1</v>
      </c>
      <c r="B75" s="119" t="s">
        <v>74</v>
      </c>
      <c r="C75" s="189">
        <v>7.3121748178980228</v>
      </c>
      <c r="D75" s="190">
        <v>2.5852592972693396</v>
      </c>
      <c r="E75" s="189">
        <v>2.3601265822784812</v>
      </c>
      <c r="F75" s="190">
        <f t="shared" ref="F75:J77" si="7">IFERROR(E75-C75,"-")</f>
        <v>-4.9520482356195412</v>
      </c>
      <c r="G75" s="189">
        <v>4.3053040103492881</v>
      </c>
      <c r="H75" s="190">
        <f t="shared" si="7"/>
        <v>1.945177428070807</v>
      </c>
      <c r="I75" s="189">
        <v>4.6329824561403505</v>
      </c>
      <c r="J75" s="190">
        <f t="shared" si="7"/>
        <v>0.32767844579106242</v>
      </c>
      <c r="K75" s="189">
        <v>10.273040482342807</v>
      </c>
      <c r="L75" s="190">
        <f t="shared" ref="L75:L77" si="8">IFERROR(K75-I75,"-")</f>
        <v>5.6400580262024569</v>
      </c>
      <c r="M75" s="189">
        <v>7.0179472798653952</v>
      </c>
      <c r="N75" s="190">
        <f t="shared" ref="N75:N86" si="9">IFERROR(M75-K75,"-")</f>
        <v>-3.2550932024774122</v>
      </c>
    </row>
    <row r="76" spans="1:15" x14ac:dyDescent="0.25">
      <c r="A76" s="1">
        <v>2</v>
      </c>
      <c r="B76" s="119" t="s">
        <v>76</v>
      </c>
      <c r="C76" s="189">
        <v>4.373746184038378</v>
      </c>
      <c r="D76" s="190">
        <v>-1.4778419868269017</v>
      </c>
      <c r="E76" s="189">
        <v>2.2005265467310222</v>
      </c>
      <c r="F76" s="190">
        <f t="shared" si="7"/>
        <v>-2.1732196373073558</v>
      </c>
      <c r="G76" s="189">
        <v>3.0024086712163789</v>
      </c>
      <c r="H76" s="190">
        <f t="shared" si="7"/>
        <v>0.80188212448535667</v>
      </c>
      <c r="I76" s="189">
        <v>3.7690100430416069</v>
      </c>
      <c r="J76" s="190">
        <f t="shared" si="7"/>
        <v>0.76660137182522803</v>
      </c>
      <c r="K76" s="189">
        <v>5.6968660968660965</v>
      </c>
      <c r="L76" s="190">
        <f t="shared" si="8"/>
        <v>1.9278560538244895</v>
      </c>
      <c r="M76" s="189">
        <v>5.4698795180722888</v>
      </c>
      <c r="N76" s="190">
        <f t="shared" si="9"/>
        <v>-0.22698657879380768</v>
      </c>
    </row>
    <row r="77" spans="1:15" x14ac:dyDescent="0.25">
      <c r="A77" s="1">
        <v>3</v>
      </c>
      <c r="B77" s="119" t="s">
        <v>78</v>
      </c>
      <c r="C77" s="189">
        <v>7.6828703703703702</v>
      </c>
      <c r="D77" s="190">
        <v>2.1866266308044269</v>
      </c>
      <c r="E77" s="189">
        <v>2.2272060979184989</v>
      </c>
      <c r="F77" s="190">
        <f t="shared" si="7"/>
        <v>-5.4556642724518714</v>
      </c>
      <c r="G77" s="189">
        <v>3.5349029326724493</v>
      </c>
      <c r="H77" s="190">
        <f t="shared" si="7"/>
        <v>1.3076968347539504</v>
      </c>
      <c r="I77" s="189">
        <v>3.0666340029397352</v>
      </c>
      <c r="J77" s="190">
        <f t="shared" si="7"/>
        <v>-0.46826892973271406</v>
      </c>
      <c r="K77" s="189">
        <v>4.6758620689655173</v>
      </c>
      <c r="L77" s="190">
        <f t="shared" si="8"/>
        <v>1.6092280660257821</v>
      </c>
      <c r="M77" s="189">
        <v>5.6972945380296069</v>
      </c>
      <c r="N77" s="190">
        <f t="shared" si="9"/>
        <v>1.0214324690640897</v>
      </c>
    </row>
    <row r="78" spans="1:15" x14ac:dyDescent="0.25">
      <c r="A78" s="1">
        <v>4</v>
      </c>
      <c r="B78" s="119" t="s">
        <v>80</v>
      </c>
      <c r="C78" s="189" t="s">
        <v>298</v>
      </c>
      <c r="D78" s="190" t="s">
        <v>298</v>
      </c>
      <c r="E78" s="189">
        <v>2.5212673611111112</v>
      </c>
      <c r="F78" s="190" t="str">
        <f>IFERROR(E78-C78,"-")</f>
        <v>-</v>
      </c>
      <c r="G78" s="189">
        <v>2.9430132708821235</v>
      </c>
      <c r="H78" s="190">
        <f>IFERROR(G78-E78,"-")</f>
        <v>0.42174590977101234</v>
      </c>
      <c r="I78" s="189">
        <v>2.6192314441130025</v>
      </c>
      <c r="J78" s="190">
        <f>IFERROR(I78-G78,"-")</f>
        <v>-0.32378182676912104</v>
      </c>
      <c r="K78" s="189">
        <v>4.938816958618939</v>
      </c>
      <c r="L78" s="190">
        <f>IFERROR(K78-I78,"-")</f>
        <v>2.3195855145059365</v>
      </c>
      <c r="M78" s="189">
        <v>3.9004048582995949</v>
      </c>
      <c r="N78" s="190">
        <f t="shared" si="9"/>
        <v>-1.0384121003193441</v>
      </c>
    </row>
    <row r="79" spans="1:15" x14ac:dyDescent="0.25">
      <c r="A79" s="1">
        <v>5</v>
      </c>
      <c r="B79" s="119" t="s">
        <v>82</v>
      </c>
      <c r="C79" s="189" t="s">
        <v>298</v>
      </c>
      <c r="D79" s="190" t="s">
        <v>298</v>
      </c>
      <c r="E79" s="189">
        <v>2.398233995584989</v>
      </c>
      <c r="F79" s="190" t="str">
        <f t="shared" ref="F79:J87" si="10">IFERROR(E79-C79,"-")</f>
        <v>-</v>
      </c>
      <c r="G79" s="189">
        <v>2.8526888470391296</v>
      </c>
      <c r="H79" s="190">
        <f t="shared" si="10"/>
        <v>0.45445485145414066</v>
      </c>
      <c r="I79" s="189">
        <v>2.6760998199125288</v>
      </c>
      <c r="J79" s="190">
        <f t="shared" si="10"/>
        <v>-0.17658902712660085</v>
      </c>
      <c r="K79" s="189">
        <v>4.5723604735443342</v>
      </c>
      <c r="L79" s="190">
        <f t="shared" ref="L79:L87" si="11">IFERROR(K79-I79,"-")</f>
        <v>1.8962606536318054</v>
      </c>
      <c r="M79" s="189">
        <v>2.3005936319481921</v>
      </c>
      <c r="N79" s="190">
        <f t="shared" si="9"/>
        <v>-2.2717668415961421</v>
      </c>
    </row>
    <row r="80" spans="1:15" x14ac:dyDescent="0.25">
      <c r="A80" s="1">
        <v>6</v>
      </c>
      <c r="B80" s="119" t="s">
        <v>84</v>
      </c>
      <c r="C80" s="189" t="s">
        <v>298</v>
      </c>
      <c r="D80" s="190" t="s">
        <v>298</v>
      </c>
      <c r="E80" s="189">
        <v>2.6477143506936547</v>
      </c>
      <c r="F80" s="190" t="str">
        <f t="shared" si="10"/>
        <v>-</v>
      </c>
      <c r="G80" s="189">
        <v>3.2245340268747289</v>
      </c>
      <c r="H80" s="190">
        <f t="shared" si="10"/>
        <v>0.57681967618107421</v>
      </c>
      <c r="I80" s="189">
        <v>3.266274299982165</v>
      </c>
      <c r="J80" s="190">
        <f t="shared" si="10"/>
        <v>4.174027310743611E-2</v>
      </c>
      <c r="K80" s="189">
        <v>4.3387507342862737</v>
      </c>
      <c r="L80" s="190">
        <f t="shared" si="11"/>
        <v>1.0724764343041087</v>
      </c>
      <c r="M80" s="189">
        <v>4.081278147115591</v>
      </c>
      <c r="N80" s="190">
        <f t="shared" si="9"/>
        <v>-0.25747258717068267</v>
      </c>
    </row>
    <row r="81" spans="1:15" x14ac:dyDescent="0.25">
      <c r="A81" s="1">
        <v>7</v>
      </c>
      <c r="B81" s="119" t="s">
        <v>86</v>
      </c>
      <c r="C81" s="189" t="s">
        <v>298</v>
      </c>
      <c r="D81" s="190" t="s">
        <v>298</v>
      </c>
      <c r="E81" s="189">
        <v>3.4859367152184833</v>
      </c>
      <c r="F81" s="190" t="str">
        <f t="shared" si="10"/>
        <v>-</v>
      </c>
      <c r="G81" s="189">
        <v>3.2580684746594675</v>
      </c>
      <c r="H81" s="190">
        <f t="shared" si="10"/>
        <v>-0.22786824055901578</v>
      </c>
      <c r="I81" s="189">
        <v>4.1404064396938507</v>
      </c>
      <c r="J81" s="190">
        <f t="shared" si="10"/>
        <v>0.88233796503438322</v>
      </c>
      <c r="K81" s="189">
        <v>4.7078619504510959</v>
      </c>
      <c r="L81" s="190">
        <f t="shared" si="11"/>
        <v>0.56745551075724521</v>
      </c>
      <c r="M81" s="189">
        <v>4.9690085997079345</v>
      </c>
      <c r="N81" s="190">
        <f t="shared" si="9"/>
        <v>0.26114664925683861</v>
      </c>
    </row>
    <row r="82" spans="1:15" x14ac:dyDescent="0.25">
      <c r="A82" s="1">
        <v>8</v>
      </c>
      <c r="B82" s="119" t="s">
        <v>88</v>
      </c>
      <c r="C82" s="189">
        <v>3.2512923607122342</v>
      </c>
      <c r="D82" s="190">
        <v>-1.2600889925774443</v>
      </c>
      <c r="E82" s="189">
        <v>4.1454716095729705</v>
      </c>
      <c r="F82" s="190">
        <f t="shared" si="10"/>
        <v>0.8941792488607363</v>
      </c>
      <c r="G82" s="189">
        <v>3.3965042499700706</v>
      </c>
      <c r="H82" s="190">
        <f t="shared" si="10"/>
        <v>-0.74896735960289984</v>
      </c>
      <c r="I82" s="189">
        <v>4.6893287435456106</v>
      </c>
      <c r="J82" s="190">
        <f t="shared" si="10"/>
        <v>1.29282449357554</v>
      </c>
      <c r="K82" s="189">
        <v>4.167572556660855</v>
      </c>
      <c r="L82" s="190">
        <f t="shared" si="11"/>
        <v>-0.52175618688475556</v>
      </c>
      <c r="M82" s="189">
        <v>3.7915621436716078</v>
      </c>
      <c r="N82" s="190">
        <f t="shared" si="9"/>
        <v>-0.3760104129892472</v>
      </c>
    </row>
    <row r="83" spans="1:15" x14ac:dyDescent="0.25">
      <c r="A83" s="1">
        <v>9</v>
      </c>
      <c r="B83" s="119" t="s">
        <v>90</v>
      </c>
      <c r="C83" s="189">
        <v>3.2019512195121953</v>
      </c>
      <c r="D83" s="190">
        <v>0.27295518252408435</v>
      </c>
      <c r="E83" s="189">
        <v>2.891643059490085</v>
      </c>
      <c r="F83" s="190">
        <f t="shared" si="10"/>
        <v>-0.31030816002211026</v>
      </c>
      <c r="G83" s="189">
        <v>2.8206357214934408</v>
      </c>
      <c r="H83" s="190">
        <f t="shared" si="10"/>
        <v>-7.1007337996644271E-2</v>
      </c>
      <c r="I83" s="189">
        <v>5.7946447851435972</v>
      </c>
      <c r="J83" s="190">
        <f t="shared" si="10"/>
        <v>2.9740090636501564</v>
      </c>
      <c r="K83" s="189">
        <v>4.6357219251336899</v>
      </c>
      <c r="L83" s="190">
        <f t="shared" si="11"/>
        <v>-1.1589228600099073</v>
      </c>
      <c r="M83" s="189">
        <v>3.8455352655386164</v>
      </c>
      <c r="N83" s="190">
        <f t="shared" si="9"/>
        <v>-0.7901866595950735</v>
      </c>
    </row>
    <row r="84" spans="1:15" x14ac:dyDescent="0.25">
      <c r="A84" s="1">
        <v>10</v>
      </c>
      <c r="B84" s="119" t="s">
        <v>92</v>
      </c>
      <c r="C84" s="189">
        <v>2.7446132909956908</v>
      </c>
      <c r="D84" s="190">
        <v>-0.87093699976459327</v>
      </c>
      <c r="E84" s="189">
        <v>4.075253762688134</v>
      </c>
      <c r="F84" s="190">
        <f t="shared" si="10"/>
        <v>1.3306404716924431</v>
      </c>
      <c r="G84" s="189">
        <v>3.2654341366787718</v>
      </c>
      <c r="H84" s="190">
        <f t="shared" si="10"/>
        <v>-0.80981962600936219</v>
      </c>
      <c r="I84" s="189">
        <v>4.6662830840046032</v>
      </c>
      <c r="J84" s="190">
        <f t="shared" si="10"/>
        <v>1.4008489473258314</v>
      </c>
      <c r="K84" s="189">
        <v>4.2438171371471398</v>
      </c>
      <c r="L84" s="190">
        <f t="shared" si="11"/>
        <v>-0.42246594685746341</v>
      </c>
      <c r="M84" s="189">
        <v>3.732262103505843</v>
      </c>
      <c r="N84" s="190">
        <f t="shared" si="9"/>
        <v>-0.51155503364129684</v>
      </c>
    </row>
    <row r="85" spans="1:15" x14ac:dyDescent="0.25">
      <c r="A85" s="1">
        <v>11</v>
      </c>
      <c r="B85" s="119" t="s">
        <v>94</v>
      </c>
      <c r="C85" s="189">
        <v>3.8462073764787754</v>
      </c>
      <c r="D85" s="190">
        <v>-0.42130854708810395</v>
      </c>
      <c r="E85" s="189">
        <v>3.2501179801793301</v>
      </c>
      <c r="F85" s="190">
        <f t="shared" si="10"/>
        <v>-0.59608939629944535</v>
      </c>
      <c r="G85" s="189">
        <v>3.9406060606060604</v>
      </c>
      <c r="H85" s="190">
        <f t="shared" si="10"/>
        <v>0.69048808042673038</v>
      </c>
      <c r="I85" s="189">
        <v>5.841721371261853</v>
      </c>
      <c r="J85" s="190">
        <f t="shared" si="10"/>
        <v>1.9011153106557925</v>
      </c>
      <c r="K85" s="189">
        <v>3.7185978578383643</v>
      </c>
      <c r="L85" s="190">
        <f t="shared" si="11"/>
        <v>-2.1231235134234887</v>
      </c>
      <c r="M85" s="189">
        <v>6.4880562060889932</v>
      </c>
      <c r="N85" s="190">
        <f t="shared" si="9"/>
        <v>2.769458348250629</v>
      </c>
    </row>
    <row r="86" spans="1:15" x14ac:dyDescent="0.25">
      <c r="A86" s="1">
        <v>12</v>
      </c>
      <c r="B86" s="119" t="s">
        <v>96</v>
      </c>
      <c r="C86" s="189">
        <v>2.8384615384615386</v>
      </c>
      <c r="D86" s="190">
        <v>-0.44935415680972524</v>
      </c>
      <c r="E86" s="189">
        <v>3.1969068276122217</v>
      </c>
      <c r="F86" s="190">
        <f t="shared" si="10"/>
        <v>0.35844528915068308</v>
      </c>
      <c r="G86" s="189">
        <v>3.2061803444782169</v>
      </c>
      <c r="H86" s="190">
        <f t="shared" si="10"/>
        <v>9.2735168659952016E-3</v>
      </c>
      <c r="I86" s="189">
        <v>5.1691045308597934</v>
      </c>
      <c r="J86" s="190">
        <f t="shared" si="10"/>
        <v>1.9629241863815765</v>
      </c>
      <c r="K86" s="189">
        <v>6.0773722627737223</v>
      </c>
      <c r="L86" s="190">
        <f t="shared" si="11"/>
        <v>0.90826773191392896</v>
      </c>
      <c r="M86" s="189">
        <v>5.1019266625233062</v>
      </c>
      <c r="N86" s="190">
        <f t="shared" si="9"/>
        <v>-0.97544560025041616</v>
      </c>
    </row>
    <row r="87" spans="1:15" ht="15.75" x14ac:dyDescent="0.25">
      <c r="B87" s="122" t="s">
        <v>33</v>
      </c>
      <c r="C87" s="191">
        <v>3.7144348105330764</v>
      </c>
      <c r="D87" s="192">
        <v>-0.38747837525245954</v>
      </c>
      <c r="E87" s="191">
        <v>3.0142587737454578</v>
      </c>
      <c r="F87" s="192">
        <f t="shared" si="10"/>
        <v>-0.70017603678761864</v>
      </c>
      <c r="G87" s="191">
        <v>3.2251008441801474</v>
      </c>
      <c r="H87" s="192">
        <f t="shared" si="10"/>
        <v>0.21084207043468961</v>
      </c>
      <c r="I87" s="191">
        <v>4.1777608819616043</v>
      </c>
      <c r="J87" s="192">
        <f t="shared" si="10"/>
        <v>0.95266003778145691</v>
      </c>
      <c r="K87" s="191">
        <v>4.7236470072876431</v>
      </c>
      <c r="L87" s="192">
        <f t="shared" si="11"/>
        <v>0.54588612532603875</v>
      </c>
      <c r="M87" s="191">
        <v>4.3116051976346093</v>
      </c>
      <c r="N87" s="192">
        <v>-0.41204180965303383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1:15" ht="48.75" customHeight="1" thickBot="1" x14ac:dyDescent="0.3">
      <c r="B92" s="283" t="s">
        <v>303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CONCATENATE("dif ",RIGHT(M95,2),"/",RIGHT(K95,2))</f>
        <v>dif 25/24</v>
      </c>
    </row>
    <row r="97" spans="2:14" x14ac:dyDescent="0.25">
      <c r="B97" s="119" t="s">
        <v>74</v>
      </c>
      <c r="C97" s="189">
        <v>8.8097432995524461</v>
      </c>
      <c r="D97" s="190">
        <v>8.3911907679778963E-2</v>
      </c>
      <c r="E97" s="189">
        <v>7.5142624286878563</v>
      </c>
      <c r="F97" s="190">
        <f t="shared" ref="F97:J99" si="12">IFERROR(E97-C97,"-")</f>
        <v>-1.2954808708645897</v>
      </c>
      <c r="G97" s="189">
        <v>8.0387403221823561</v>
      </c>
      <c r="H97" s="190">
        <f t="shared" si="12"/>
        <v>0.5244778934944998</v>
      </c>
      <c r="I97" s="189">
        <v>8.0776569159140159</v>
      </c>
      <c r="J97" s="190">
        <f t="shared" si="12"/>
        <v>3.8916593731659788E-2</v>
      </c>
      <c r="K97" s="189">
        <v>8.2303954663556951</v>
      </c>
      <c r="L97" s="190">
        <f t="shared" ref="L97:L99" si="13">IFERROR(K97-I97,"-")</f>
        <v>0.15273855044167917</v>
      </c>
      <c r="M97" s="189">
        <v>8.1584494081636603</v>
      </c>
      <c r="N97" s="190">
        <f t="shared" ref="N97:N108" si="14">IFERROR(M97-K97,"-")</f>
        <v>-7.1946058192034812E-2</v>
      </c>
    </row>
    <row r="98" spans="2:14" x14ac:dyDescent="0.25">
      <c r="B98" s="119" t="s">
        <v>76</v>
      </c>
      <c r="C98" s="189">
        <v>8.0829859183364459</v>
      </c>
      <c r="D98" s="190">
        <v>-0.1183070333698879</v>
      </c>
      <c r="E98" s="189">
        <v>6.4283309957924262</v>
      </c>
      <c r="F98" s="190">
        <f t="shared" si="12"/>
        <v>-1.6546549225440197</v>
      </c>
      <c r="G98" s="189">
        <v>7.1223893676062513</v>
      </c>
      <c r="H98" s="190">
        <f t="shared" si="12"/>
        <v>0.69405837181382513</v>
      </c>
      <c r="I98" s="189">
        <v>7.6832126923194721</v>
      </c>
      <c r="J98" s="190">
        <f t="shared" si="12"/>
        <v>0.56082332471322083</v>
      </c>
      <c r="K98" s="189">
        <v>7.4371709453478081</v>
      </c>
      <c r="L98" s="190">
        <f t="shared" si="13"/>
        <v>-0.24604174697166403</v>
      </c>
      <c r="M98" s="189">
        <v>7.1453087571086362</v>
      </c>
      <c r="N98" s="190">
        <f t="shared" si="14"/>
        <v>-0.29186218823917187</v>
      </c>
    </row>
    <row r="99" spans="2:14" x14ac:dyDescent="0.25">
      <c r="B99" s="119" t="s">
        <v>78</v>
      </c>
      <c r="C99" s="189">
        <v>9.413782510751588</v>
      </c>
      <c r="D99" s="190">
        <v>2.0102024369706264</v>
      </c>
      <c r="E99" s="189">
        <v>7.1092631092631091</v>
      </c>
      <c r="F99" s="190">
        <f t="shared" si="12"/>
        <v>-2.3045194014884789</v>
      </c>
      <c r="G99" s="189">
        <v>7.2840891870321167</v>
      </c>
      <c r="H99" s="190">
        <f t="shared" si="12"/>
        <v>0.1748260777690076</v>
      </c>
      <c r="I99" s="189">
        <v>7.3495983117988963</v>
      </c>
      <c r="J99" s="190">
        <f t="shared" si="12"/>
        <v>6.5509124766779614E-2</v>
      </c>
      <c r="K99" s="189">
        <v>7.247811011487812</v>
      </c>
      <c r="L99" s="190">
        <f t="shared" si="13"/>
        <v>-0.10178730031108429</v>
      </c>
      <c r="M99" s="189">
        <v>6.7977450646698436</v>
      </c>
      <c r="N99" s="190">
        <f t="shared" si="14"/>
        <v>-0.45006594681796841</v>
      </c>
    </row>
    <row r="100" spans="2:14" x14ac:dyDescent="0.25">
      <c r="B100" s="119" t="s">
        <v>80</v>
      </c>
      <c r="C100" s="189" t="s">
        <v>298</v>
      </c>
      <c r="D100" s="190" t="s">
        <v>298</v>
      </c>
      <c r="E100" s="189">
        <v>6.6948441247002402</v>
      </c>
      <c r="F100" s="190" t="str">
        <f>IFERROR(E100-C100,"-")</f>
        <v>-</v>
      </c>
      <c r="G100" s="189">
        <v>6.9411300003077905</v>
      </c>
      <c r="H100" s="190">
        <f>IFERROR(G100-E100,"-")</f>
        <v>0.24628587560755033</v>
      </c>
      <c r="I100" s="189">
        <v>6.9855571525532003</v>
      </c>
      <c r="J100" s="190">
        <f>IFERROR(I100-G100,"-")</f>
        <v>4.4427152245409829E-2</v>
      </c>
      <c r="K100" s="189">
        <v>7.1371846983741074</v>
      </c>
      <c r="L100" s="190">
        <f>IFERROR(K100-I100,"-")</f>
        <v>0.15162754582090709</v>
      </c>
      <c r="M100" s="189">
        <v>6.8197604848673521</v>
      </c>
      <c r="N100" s="190">
        <f t="shared" si="14"/>
        <v>-0.31742421350675531</v>
      </c>
    </row>
    <row r="101" spans="2:14" x14ac:dyDescent="0.25">
      <c r="B101" s="119" t="s">
        <v>82</v>
      </c>
      <c r="C101" s="189" t="s">
        <v>298</v>
      </c>
      <c r="D101" s="190" t="s">
        <v>298</v>
      </c>
      <c r="E101" s="189">
        <v>5.6652285567539806</v>
      </c>
      <c r="F101" s="190" t="str">
        <f t="shared" ref="F101:J109" si="15">IFERROR(E101-C101,"-")</f>
        <v>-</v>
      </c>
      <c r="G101" s="189">
        <v>7.0874125071715435</v>
      </c>
      <c r="H101" s="190">
        <f t="shared" si="15"/>
        <v>1.4221839504175628</v>
      </c>
      <c r="I101" s="189">
        <v>7.2427163643341723</v>
      </c>
      <c r="J101" s="190">
        <f t="shared" si="15"/>
        <v>0.15530385716262884</v>
      </c>
      <c r="K101" s="189">
        <v>6.9829152891334907</v>
      </c>
      <c r="L101" s="190">
        <f t="shared" ref="L101:L109" si="16">IFERROR(K101-I101,"-")</f>
        <v>-0.25980107520068163</v>
      </c>
      <c r="M101" s="189">
        <v>6.5876846692984667</v>
      </c>
      <c r="N101" s="190">
        <f t="shared" si="14"/>
        <v>-0.39523061983502394</v>
      </c>
    </row>
    <row r="102" spans="2:14" x14ac:dyDescent="0.25">
      <c r="B102" s="119" t="s">
        <v>84</v>
      </c>
      <c r="C102" s="189" t="s">
        <v>298</v>
      </c>
      <c r="D102" s="190" t="s">
        <v>298</v>
      </c>
      <c r="E102" s="189">
        <v>6.1660284463894968</v>
      </c>
      <c r="F102" s="190" t="str">
        <f t="shared" si="15"/>
        <v>-</v>
      </c>
      <c r="G102" s="189">
        <v>7.2050444253367729</v>
      </c>
      <c r="H102" s="190">
        <f t="shared" si="15"/>
        <v>1.0390159789472762</v>
      </c>
      <c r="I102" s="189">
        <v>7.3186980026877029</v>
      </c>
      <c r="J102" s="190">
        <f t="shared" si="15"/>
        <v>0.11365357735092996</v>
      </c>
      <c r="K102" s="189">
        <v>7.2094211786694702</v>
      </c>
      <c r="L102" s="190">
        <f t="shared" si="16"/>
        <v>-0.10927682401823269</v>
      </c>
      <c r="M102" s="189">
        <v>7.1394270045918509</v>
      </c>
      <c r="N102" s="190">
        <f t="shared" si="14"/>
        <v>-6.999417407761932E-2</v>
      </c>
    </row>
    <row r="103" spans="2:14" x14ac:dyDescent="0.25">
      <c r="B103" s="119" t="s">
        <v>86</v>
      </c>
      <c r="C103" s="189" t="s">
        <v>298</v>
      </c>
      <c r="D103" s="190" t="s">
        <v>298</v>
      </c>
      <c r="E103" s="189">
        <v>6.9288217653647433</v>
      </c>
      <c r="F103" s="190" t="str">
        <f t="shared" si="15"/>
        <v>-</v>
      </c>
      <c r="G103" s="189">
        <v>7.7729228273877222</v>
      </c>
      <c r="H103" s="190">
        <f t="shared" si="15"/>
        <v>0.84410106202297897</v>
      </c>
      <c r="I103" s="189">
        <v>8.1952106050887323</v>
      </c>
      <c r="J103" s="190">
        <f t="shared" si="15"/>
        <v>0.42228777770101011</v>
      </c>
      <c r="K103" s="189">
        <v>7.7253439183229169</v>
      </c>
      <c r="L103" s="190">
        <f t="shared" si="16"/>
        <v>-0.46986668676581544</v>
      </c>
      <c r="M103" s="189">
        <v>7.6424042178009728</v>
      </c>
      <c r="N103" s="190">
        <f t="shared" si="14"/>
        <v>-8.2939700521944104E-2</v>
      </c>
    </row>
    <row r="104" spans="2:14" x14ac:dyDescent="0.25">
      <c r="B104" s="119" t="s">
        <v>88</v>
      </c>
      <c r="C104" s="189">
        <v>7.3959975055275242</v>
      </c>
      <c r="D104" s="190">
        <v>-1.3345428783250375</v>
      </c>
      <c r="E104" s="189">
        <v>7.8653993334156276</v>
      </c>
      <c r="F104" s="190">
        <f t="shared" si="15"/>
        <v>0.46940182788810336</v>
      </c>
      <c r="G104" s="189">
        <v>8.2201171517481235</v>
      </c>
      <c r="H104" s="190">
        <f t="shared" si="15"/>
        <v>0.35471781833249594</v>
      </c>
      <c r="I104" s="189">
        <v>8.4153045525416381</v>
      </c>
      <c r="J104" s="190">
        <f t="shared" si="15"/>
        <v>0.1951874007935146</v>
      </c>
      <c r="K104" s="189">
        <v>7.9033183772667792</v>
      </c>
      <c r="L104" s="190">
        <f t="shared" si="16"/>
        <v>-0.5119861752748589</v>
      </c>
      <c r="M104" s="189">
        <v>7.7705676336483185</v>
      </c>
      <c r="N104" s="190">
        <f t="shared" si="14"/>
        <v>-0.13275074361846073</v>
      </c>
    </row>
    <row r="105" spans="2:14" x14ac:dyDescent="0.25">
      <c r="B105" s="119" t="s">
        <v>90</v>
      </c>
      <c r="C105" s="189">
        <v>6.7584219059628898</v>
      </c>
      <c r="D105" s="190">
        <v>-1.6028877038436251</v>
      </c>
      <c r="E105" s="189">
        <v>7.5428242806433063</v>
      </c>
      <c r="F105" s="190">
        <f t="shared" si="15"/>
        <v>0.78440237468041651</v>
      </c>
      <c r="G105" s="189">
        <v>7.6188169771045304</v>
      </c>
      <c r="H105" s="190">
        <f t="shared" si="15"/>
        <v>7.5992696461224085E-2</v>
      </c>
      <c r="I105" s="189">
        <v>7.7166896208928328</v>
      </c>
      <c r="J105" s="190">
        <f t="shared" si="15"/>
        <v>9.7872643788302405E-2</v>
      </c>
      <c r="K105" s="189">
        <v>7.5369796698973035</v>
      </c>
      <c r="L105" s="190">
        <f t="shared" si="16"/>
        <v>-0.17970995099552933</v>
      </c>
      <c r="M105" s="189">
        <v>7.3111419726296907</v>
      </c>
      <c r="N105" s="190">
        <f t="shared" si="14"/>
        <v>-0.22583769726761282</v>
      </c>
    </row>
    <row r="106" spans="2:14" x14ac:dyDescent="0.25">
      <c r="B106" s="119" t="s">
        <v>92</v>
      </c>
      <c r="C106" s="189">
        <v>5.2482198086743868</v>
      </c>
      <c r="D106" s="190">
        <v>-2.5927857677774568</v>
      </c>
      <c r="E106" s="189">
        <v>7.2200422688346748</v>
      </c>
      <c r="F106" s="190">
        <f t="shared" si="15"/>
        <v>1.9718224601602881</v>
      </c>
      <c r="G106" s="189">
        <v>7.3642739313724546</v>
      </c>
      <c r="H106" s="190">
        <f t="shared" si="15"/>
        <v>0.14423166253777975</v>
      </c>
      <c r="I106" s="189">
        <v>7.4843275943999705</v>
      </c>
      <c r="J106" s="190">
        <f t="shared" si="15"/>
        <v>0.12005366302751597</v>
      </c>
      <c r="K106" s="189">
        <v>7.1732973526425852</v>
      </c>
      <c r="L106" s="190">
        <f t="shared" si="16"/>
        <v>-0.31103024175738536</v>
      </c>
      <c r="M106" s="189">
        <v>7.1026621046482514</v>
      </c>
      <c r="N106" s="190">
        <f t="shared" si="14"/>
        <v>-7.0635247994333739E-2</v>
      </c>
    </row>
    <row r="107" spans="2:14" x14ac:dyDescent="0.25">
      <c r="B107" s="119" t="s">
        <v>94</v>
      </c>
      <c r="C107" s="189">
        <v>7.2074655905455067</v>
      </c>
      <c r="D107" s="190">
        <v>-0.7068424673243765</v>
      </c>
      <c r="E107" s="189">
        <v>7.6835052797669618</v>
      </c>
      <c r="F107" s="190">
        <f t="shared" si="15"/>
        <v>0.47603968922145512</v>
      </c>
      <c r="G107" s="189">
        <v>7.444712746769695</v>
      </c>
      <c r="H107" s="190">
        <f t="shared" si="15"/>
        <v>-0.23879253299726688</v>
      </c>
      <c r="I107" s="189">
        <v>7.585129652825815</v>
      </c>
      <c r="J107" s="190">
        <f t="shared" si="15"/>
        <v>0.14041690605612001</v>
      </c>
      <c r="K107" s="189">
        <v>7.3286089531181835</v>
      </c>
      <c r="L107" s="190">
        <f t="shared" si="16"/>
        <v>-0.25652069970763147</v>
      </c>
      <c r="M107" s="189">
        <v>6.9580899911457728</v>
      </c>
      <c r="N107" s="190">
        <f t="shared" si="14"/>
        <v>-0.37051896197241074</v>
      </c>
    </row>
    <row r="108" spans="2:14" x14ac:dyDescent="0.25">
      <c r="B108" s="119" t="s">
        <v>96</v>
      </c>
      <c r="C108" s="189">
        <v>7.2810240764077738</v>
      </c>
      <c r="D108" s="190">
        <v>-0.87857674810564479</v>
      </c>
      <c r="E108" s="189">
        <v>7.6686953107471396</v>
      </c>
      <c r="F108" s="190">
        <f t="shared" si="15"/>
        <v>0.38767123433936579</v>
      </c>
      <c r="G108" s="189">
        <v>7.4694431779887802</v>
      </c>
      <c r="H108" s="190">
        <f t="shared" si="15"/>
        <v>-0.1992521327583594</v>
      </c>
      <c r="I108" s="189">
        <v>7.5471765135078055</v>
      </c>
      <c r="J108" s="190">
        <f t="shared" si="15"/>
        <v>7.7733335519025282E-2</v>
      </c>
      <c r="K108" s="189">
        <v>7.3534830273656508</v>
      </c>
      <c r="L108" s="190">
        <f t="shared" si="16"/>
        <v>-0.19369348614215465</v>
      </c>
      <c r="M108" s="189">
        <v>7.3826590939929053</v>
      </c>
      <c r="N108" s="190">
        <f t="shared" si="14"/>
        <v>2.9176066627254471E-2</v>
      </c>
    </row>
    <row r="109" spans="2:14" ht="15.75" x14ac:dyDescent="0.25">
      <c r="B109" s="122" t="s">
        <v>33</v>
      </c>
      <c r="C109" s="191">
        <v>8.0875504117928827</v>
      </c>
      <c r="D109" s="192">
        <v>-3.1902214651111649E-3</v>
      </c>
      <c r="E109" s="191">
        <v>7.3785757968639158</v>
      </c>
      <c r="F109" s="192">
        <f t="shared" si="15"/>
        <v>-0.70897461492896685</v>
      </c>
      <c r="G109" s="191">
        <v>7.4599360119472946</v>
      </c>
      <c r="H109" s="192">
        <f t="shared" si="15"/>
        <v>8.1360215083378762E-2</v>
      </c>
      <c r="I109" s="191">
        <v>7.6295319550766143</v>
      </c>
      <c r="J109" s="192">
        <f t="shared" si="15"/>
        <v>0.16959594312931969</v>
      </c>
      <c r="K109" s="191">
        <v>7.432853452385908</v>
      </c>
      <c r="L109" s="192">
        <f t="shared" si="16"/>
        <v>-0.1966785026907063</v>
      </c>
      <c r="M109" s="191">
        <v>7.22786988641072</v>
      </c>
      <c r="N109" s="192">
        <v>-0.20498356597518796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4" spans="1:15" ht="48.75" customHeight="1" thickBot="1" x14ac:dyDescent="0.3">
      <c r="B114" s="283" t="s">
        <v>304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v>2020</v>
      </c>
      <c r="D117" s="308"/>
      <c r="E117" s="309">
        <v>2021</v>
      </c>
      <c r="F117" s="308"/>
      <c r="G117" s="309">
        <v>2022</v>
      </c>
      <c r="H117" s="308"/>
      <c r="I117" s="309">
        <v>2023</v>
      </c>
      <c r="J117" s="308"/>
      <c r="K117" s="309">
        <v>2024</v>
      </c>
      <c r="L117" s="308"/>
      <c r="M117" s="309">
        <v>2025</v>
      </c>
      <c r="N117" s="310"/>
    </row>
    <row r="118" spans="1:15" ht="16.5" thickTop="1" thickBot="1" x14ac:dyDescent="0.3">
      <c r="B118" s="87"/>
      <c r="C118" s="116" t="s">
        <v>72</v>
      </c>
      <c r="D118" s="117" t="str">
        <f>CONCATENATE("dif ",RIGHT(C117,2),"/",RIGHT(C117-1,2))</f>
        <v>dif 20/19</v>
      </c>
      <c r="E118" s="118" t="s">
        <v>72</v>
      </c>
      <c r="F118" s="117" t="str">
        <f>CONCATENATE("dif ",RIGHT(E117,2),"/",RIGHT(C117,2))</f>
        <v>dif 21/20</v>
      </c>
      <c r="G118" s="118" t="s">
        <v>72</v>
      </c>
      <c r="H118" s="117" t="str">
        <f>CONCATENATE("dif ",RIGHT(G117,2),"/",RIGHT(E117,2))</f>
        <v>dif 22/21</v>
      </c>
      <c r="I118" s="118" t="s">
        <v>72</v>
      </c>
      <c r="J118" s="117" t="str">
        <f>CONCATENATE("dif ",RIGHT(I117,2),"/",RIGHT(G117,2))</f>
        <v>dif 23/22</v>
      </c>
      <c r="K118" s="118" t="s">
        <v>72</v>
      </c>
      <c r="L118" s="117" t="str">
        <f>CONCATENATE("dif ",RIGHT(K117,2),"/",RIGHT(I117,2))</f>
        <v>dif 24/23</v>
      </c>
      <c r="M118" s="118" t="s">
        <v>72</v>
      </c>
      <c r="N118" s="117" t="str">
        <f>CONCATENATE("dif ",RIGHT(M117,2),"/",RIGHT(K117,2))</f>
        <v>dif 25/24</v>
      </c>
    </row>
    <row r="119" spans="1:15" x14ac:dyDescent="0.25">
      <c r="B119" s="119" t="s">
        <v>74</v>
      </c>
      <c r="C119" s="189">
        <v>8.7500589594830434</v>
      </c>
      <c r="D119" s="190">
        <v>0.28826320085921431</v>
      </c>
      <c r="E119" s="189">
        <v>12.152892561983471</v>
      </c>
      <c r="F119" s="190">
        <f t="shared" ref="F119:J121" si="17">IFERROR(E119-C119,"-")</f>
        <v>3.4028336025004275</v>
      </c>
      <c r="G119" s="189">
        <v>8.4483703929332918</v>
      </c>
      <c r="H119" s="190">
        <f t="shared" si="17"/>
        <v>-3.7045221690501791</v>
      </c>
      <c r="I119" s="189">
        <v>7.8572825275941032</v>
      </c>
      <c r="J119" s="190">
        <f t="shared" si="17"/>
        <v>-0.59108786533918867</v>
      </c>
      <c r="K119" s="189">
        <v>8.0684486097496837</v>
      </c>
      <c r="L119" s="190">
        <f t="shared" ref="L119:L121" si="18">IFERROR(K119-I119,"-")</f>
        <v>0.21116608215558053</v>
      </c>
      <c r="M119" s="189">
        <v>7.8521769509585573</v>
      </c>
      <c r="N119" s="190">
        <f t="shared" ref="N119:N130" si="19">IFERROR(M119-K119,"-")</f>
        <v>-0.21627165879112642</v>
      </c>
    </row>
    <row r="120" spans="1:15" x14ac:dyDescent="0.25">
      <c r="B120" s="119" t="s">
        <v>76</v>
      </c>
      <c r="C120" s="189">
        <v>7.8022204315516159</v>
      </c>
      <c r="D120" s="190">
        <v>9.001590395038761E-2</v>
      </c>
      <c r="E120" s="189">
        <v>9.7859922178988334</v>
      </c>
      <c r="F120" s="190">
        <f t="shared" si="17"/>
        <v>1.9837717863472175</v>
      </c>
      <c r="G120" s="189">
        <v>7.0618689131863537</v>
      </c>
      <c r="H120" s="190">
        <f t="shared" si="17"/>
        <v>-2.7241233047124798</v>
      </c>
      <c r="I120" s="189">
        <v>7.1998924652344991</v>
      </c>
      <c r="J120" s="190">
        <f t="shared" si="17"/>
        <v>0.13802355204814543</v>
      </c>
      <c r="K120" s="189">
        <v>6.8962858384013899</v>
      </c>
      <c r="L120" s="190">
        <f t="shared" si="18"/>
        <v>-0.30360662683310924</v>
      </c>
      <c r="M120" s="189">
        <v>6.6720739874561499</v>
      </c>
      <c r="N120" s="190">
        <f t="shared" si="19"/>
        <v>-0.22421185094523999</v>
      </c>
    </row>
    <row r="121" spans="1:15" x14ac:dyDescent="0.25">
      <c r="B121" s="119" t="s">
        <v>78</v>
      </c>
      <c r="C121" s="189">
        <v>9.2818587662337659</v>
      </c>
      <c r="D121" s="190">
        <v>2.2137373533452021</v>
      </c>
      <c r="E121" s="189">
        <v>10.099264705882353</v>
      </c>
      <c r="F121" s="190">
        <f t="shared" si="17"/>
        <v>0.81740593964858732</v>
      </c>
      <c r="G121" s="189">
        <v>6.9234636871508384</v>
      </c>
      <c r="H121" s="190">
        <f t="shared" si="17"/>
        <v>-3.1758010187315149</v>
      </c>
      <c r="I121" s="189">
        <v>6.6670311047941837</v>
      </c>
      <c r="J121" s="190">
        <f t="shared" si="17"/>
        <v>-0.25643258235665467</v>
      </c>
      <c r="K121" s="189">
        <v>6.5950701691255844</v>
      </c>
      <c r="L121" s="190">
        <f t="shared" si="18"/>
        <v>-7.1960935668599291E-2</v>
      </c>
      <c r="M121" s="189">
        <v>6.3184449093444908</v>
      </c>
      <c r="N121" s="190">
        <f t="shared" si="19"/>
        <v>-0.27662525978109365</v>
      </c>
    </row>
    <row r="122" spans="1:15" x14ac:dyDescent="0.25">
      <c r="B122" s="119" t="s">
        <v>80</v>
      </c>
      <c r="C122" s="189" t="s">
        <v>298</v>
      </c>
      <c r="D122" s="190" t="s">
        <v>298</v>
      </c>
      <c r="E122" s="189">
        <v>9.9811320754716988</v>
      </c>
      <c r="F122" s="190" t="str">
        <f>IFERROR(E122-C122,"-")</f>
        <v>-</v>
      </c>
      <c r="G122" s="189">
        <v>6.9025331526871128</v>
      </c>
      <c r="H122" s="190">
        <f>IFERROR(G122-E122,"-")</f>
        <v>-3.078598922784586</v>
      </c>
      <c r="I122" s="189">
        <v>6.7026205151230664</v>
      </c>
      <c r="J122" s="190">
        <f>IFERROR(I122-G122,"-")</f>
        <v>-0.19991263756404631</v>
      </c>
      <c r="K122" s="189">
        <v>6.7122518964979738</v>
      </c>
      <c r="L122" s="190">
        <f>IFERROR(K122-I122,"-")</f>
        <v>9.6313813749073773E-3</v>
      </c>
      <c r="M122" s="189">
        <v>6.6233323871700254</v>
      </c>
      <c r="N122" s="190">
        <f t="shared" si="19"/>
        <v>-8.8919509327948454E-2</v>
      </c>
    </row>
    <row r="123" spans="1:15" x14ac:dyDescent="0.25">
      <c r="B123" s="119" t="s">
        <v>82</v>
      </c>
      <c r="C123" s="189" t="s">
        <v>298</v>
      </c>
      <c r="D123" s="190" t="s">
        <v>298</v>
      </c>
      <c r="E123" s="189">
        <v>8.518518518518519</v>
      </c>
      <c r="F123" s="190" t="str">
        <f t="shared" ref="F123:J131" si="20">IFERROR(E123-C123,"-")</f>
        <v>-</v>
      </c>
      <c r="G123" s="189">
        <v>6.9931297709923665</v>
      </c>
      <c r="H123" s="190">
        <f t="shared" si="20"/>
        <v>-1.5253887475261525</v>
      </c>
      <c r="I123" s="189">
        <v>6.8880018826255389</v>
      </c>
      <c r="J123" s="190">
        <f t="shared" si="20"/>
        <v>-0.10512788836682763</v>
      </c>
      <c r="K123" s="189">
        <v>6.8473654390934842</v>
      </c>
      <c r="L123" s="190">
        <f t="shared" ref="L123:L131" si="21">IFERROR(K123-I123,"-")</f>
        <v>-4.0636443532054756E-2</v>
      </c>
      <c r="M123" s="189">
        <v>6.4545549566230163</v>
      </c>
      <c r="N123" s="190">
        <f t="shared" si="19"/>
        <v>-0.3928104824704679</v>
      </c>
    </row>
    <row r="124" spans="1:15" x14ac:dyDescent="0.25">
      <c r="B124" s="119" t="s">
        <v>84</v>
      </c>
      <c r="C124" s="189" t="s">
        <v>298</v>
      </c>
      <c r="D124" s="190" t="s">
        <v>298</v>
      </c>
      <c r="E124" s="189">
        <v>7.2287145242070121</v>
      </c>
      <c r="F124" s="190" t="str">
        <f t="shared" si="20"/>
        <v>-</v>
      </c>
      <c r="G124" s="189">
        <v>7.0899205819045497</v>
      </c>
      <c r="H124" s="190">
        <f t="shared" si="20"/>
        <v>-0.13879394230246245</v>
      </c>
      <c r="I124" s="189">
        <v>7.0327701981644752</v>
      </c>
      <c r="J124" s="190">
        <f t="shared" si="20"/>
        <v>-5.7150383740074417E-2</v>
      </c>
      <c r="K124" s="189">
        <v>6.9228213762590034</v>
      </c>
      <c r="L124" s="190">
        <f t="shared" si="21"/>
        <v>-0.10994882190547184</v>
      </c>
      <c r="M124" s="189">
        <v>7.0121159280861045</v>
      </c>
      <c r="N124" s="190">
        <f t="shared" si="19"/>
        <v>8.929455182710111E-2</v>
      </c>
    </row>
    <row r="125" spans="1:15" x14ac:dyDescent="0.25">
      <c r="B125" s="119" t="s">
        <v>86</v>
      </c>
      <c r="C125" s="189" t="s">
        <v>298</v>
      </c>
      <c r="D125" s="190" t="s">
        <v>298</v>
      </c>
      <c r="E125" s="189">
        <v>6.4239951030401956</v>
      </c>
      <c r="F125" s="190" t="str">
        <f t="shared" si="20"/>
        <v>-</v>
      </c>
      <c r="G125" s="189">
        <v>7.6534467912677915</v>
      </c>
      <c r="H125" s="190">
        <f t="shared" si="20"/>
        <v>1.2294516882275959</v>
      </c>
      <c r="I125" s="189">
        <v>8.1087326889664819</v>
      </c>
      <c r="J125" s="190">
        <f t="shared" si="20"/>
        <v>0.45528589769869043</v>
      </c>
      <c r="K125" s="189">
        <v>7.6405631255651523</v>
      </c>
      <c r="L125" s="190">
        <f t="shared" si="21"/>
        <v>-0.46816956340132965</v>
      </c>
      <c r="M125" s="189">
        <v>7.5539329622606886</v>
      </c>
      <c r="N125" s="190">
        <f t="shared" si="19"/>
        <v>-8.6630163304463714E-2</v>
      </c>
    </row>
    <row r="126" spans="1:15" x14ac:dyDescent="0.25">
      <c r="B126" s="119" t="s">
        <v>88</v>
      </c>
      <c r="C126" s="189">
        <v>7.2573462310640631</v>
      </c>
      <c r="D126" s="190">
        <v>-1.5261710342778523</v>
      </c>
      <c r="E126" s="189">
        <v>7.9384951387910387</v>
      </c>
      <c r="F126" s="190">
        <f t="shared" si="20"/>
        <v>0.68114890772697567</v>
      </c>
      <c r="G126" s="189">
        <v>8.2839328099324447</v>
      </c>
      <c r="H126" s="190">
        <f t="shared" si="20"/>
        <v>0.345437671141406</v>
      </c>
      <c r="I126" s="189">
        <v>8.2147539802607881</v>
      </c>
      <c r="J126" s="190">
        <f t="shared" si="20"/>
        <v>-6.9178829671656672E-2</v>
      </c>
      <c r="K126" s="189">
        <v>7.6770740552233105</v>
      </c>
      <c r="L126" s="190">
        <f t="shared" si="21"/>
        <v>-0.53767992503747752</v>
      </c>
      <c r="M126" s="189">
        <v>7.6345100327401214</v>
      </c>
      <c r="N126" s="190">
        <f t="shared" si="19"/>
        <v>-4.2564022483189135E-2</v>
      </c>
    </row>
    <row r="127" spans="1:15" x14ac:dyDescent="0.25">
      <c r="B127" s="119" t="s">
        <v>90</v>
      </c>
      <c r="C127" s="189">
        <v>6.9742889647326507</v>
      </c>
      <c r="D127" s="190">
        <v>-1.4347560690252674</v>
      </c>
      <c r="E127" s="189">
        <v>7.5752586206896551</v>
      </c>
      <c r="F127" s="190">
        <f t="shared" si="20"/>
        <v>0.60096965595700436</v>
      </c>
      <c r="G127" s="189">
        <v>7.5322011429390372</v>
      </c>
      <c r="H127" s="190">
        <f t="shared" si="20"/>
        <v>-4.3057477750617856E-2</v>
      </c>
      <c r="I127" s="189">
        <v>7.2474372453673279</v>
      </c>
      <c r="J127" s="190">
        <f t="shared" si="20"/>
        <v>-0.28476389757170928</v>
      </c>
      <c r="K127" s="189">
        <v>7.2730435611476505</v>
      </c>
      <c r="L127" s="190">
        <f t="shared" si="21"/>
        <v>2.5606315780322575E-2</v>
      </c>
      <c r="M127" s="189">
        <v>7.2775205594767858</v>
      </c>
      <c r="N127" s="190">
        <f t="shared" si="19"/>
        <v>4.4769983291352844E-3</v>
      </c>
    </row>
    <row r="128" spans="1:15" x14ac:dyDescent="0.25">
      <c r="A128" s="125"/>
      <c r="B128" s="119" t="s">
        <v>92</v>
      </c>
      <c r="C128" s="189">
        <v>5.0265500306936772</v>
      </c>
      <c r="D128" s="190">
        <v>-3.0573454083092937</v>
      </c>
      <c r="E128" s="189">
        <v>7.3358822305451516</v>
      </c>
      <c r="F128" s="190">
        <f t="shared" si="20"/>
        <v>2.3093321998514744</v>
      </c>
      <c r="G128" s="189">
        <v>7.32884985391577</v>
      </c>
      <c r="H128" s="190">
        <f t="shared" si="20"/>
        <v>-7.0323766293816092E-3</v>
      </c>
      <c r="I128" s="189">
        <v>7.4310219287105239</v>
      </c>
      <c r="J128" s="190">
        <f t="shared" si="20"/>
        <v>0.10217207479475388</v>
      </c>
      <c r="K128" s="189">
        <v>7.0879788979316114</v>
      </c>
      <c r="L128" s="190">
        <f t="shared" si="21"/>
        <v>-0.34304303077891252</v>
      </c>
      <c r="M128" s="189">
        <v>7.1671062315996075</v>
      </c>
      <c r="N128" s="190">
        <f t="shared" si="19"/>
        <v>7.9127333667996069E-2</v>
      </c>
    </row>
    <row r="129" spans="2:15" x14ac:dyDescent="0.25">
      <c r="B129" s="119" t="s">
        <v>94</v>
      </c>
      <c r="C129" s="189">
        <v>7.6071662089708383</v>
      </c>
      <c r="D129" s="190">
        <v>8.9681275604158728E-3</v>
      </c>
      <c r="E129" s="189">
        <v>7.2370156754132999</v>
      </c>
      <c r="F129" s="190">
        <f t="shared" si="20"/>
        <v>-0.37015053355753835</v>
      </c>
      <c r="G129" s="189">
        <v>6.9267018861860477</v>
      </c>
      <c r="H129" s="190">
        <f t="shared" si="20"/>
        <v>-0.31031378922725228</v>
      </c>
      <c r="I129" s="189">
        <v>6.9971041900596891</v>
      </c>
      <c r="J129" s="190">
        <f t="shared" si="20"/>
        <v>7.0402303873641436E-2</v>
      </c>
      <c r="K129" s="189">
        <v>6.6929785888171134</v>
      </c>
      <c r="L129" s="190">
        <f t="shared" si="21"/>
        <v>-0.3041256012425757</v>
      </c>
      <c r="M129" s="189">
        <v>6.9335738624974947</v>
      </c>
      <c r="N129" s="190">
        <f t="shared" si="19"/>
        <v>0.24059527368038136</v>
      </c>
    </row>
    <row r="130" spans="2:15" x14ac:dyDescent="0.25">
      <c r="B130" s="119" t="s">
        <v>96</v>
      </c>
      <c r="C130" s="189">
        <v>7.4396250000000004</v>
      </c>
      <c r="D130" s="190">
        <v>-0.4732360584018549</v>
      </c>
      <c r="E130" s="189">
        <v>7.7394258885548375</v>
      </c>
      <c r="F130" s="190">
        <f t="shared" si="20"/>
        <v>0.29980088855483711</v>
      </c>
      <c r="G130" s="189">
        <v>6.9646990380020366</v>
      </c>
      <c r="H130" s="190">
        <f t="shared" si="20"/>
        <v>-0.77472685055280088</v>
      </c>
      <c r="I130" s="189">
        <v>7.1482471596087249</v>
      </c>
      <c r="J130" s="190">
        <f t="shared" si="20"/>
        <v>0.18354812160668832</v>
      </c>
      <c r="K130" s="189">
        <v>6.9360909000299014</v>
      </c>
      <c r="L130" s="190">
        <f t="shared" si="21"/>
        <v>-0.21215625957882356</v>
      </c>
      <c r="M130" s="189">
        <v>7.2316807118107542</v>
      </c>
      <c r="N130" s="190">
        <f t="shared" si="19"/>
        <v>0.29558981178085286</v>
      </c>
    </row>
    <row r="131" spans="2:15" ht="15.75" x14ac:dyDescent="0.25">
      <c r="B131" s="122" t="s">
        <v>33</v>
      </c>
      <c r="C131" s="191">
        <v>8.0109965119692017</v>
      </c>
      <c r="D131" s="192">
        <v>5.5865894708768238E-2</v>
      </c>
      <c r="E131" s="191">
        <v>7.4775465267941037</v>
      </c>
      <c r="F131" s="192">
        <f t="shared" si="20"/>
        <v>-0.53344998517509801</v>
      </c>
      <c r="G131" s="191">
        <v>7.3151504214895207</v>
      </c>
      <c r="H131" s="192">
        <f t="shared" si="20"/>
        <v>-0.16239610530458304</v>
      </c>
      <c r="I131" s="191">
        <v>7.2920026595828489</v>
      </c>
      <c r="J131" s="192">
        <f t="shared" si="20"/>
        <v>-2.3147761906671782E-2</v>
      </c>
      <c r="K131" s="191">
        <v>7.1072842722383207</v>
      </c>
      <c r="L131" s="192">
        <f t="shared" si="21"/>
        <v>-0.18471838734452817</v>
      </c>
      <c r="M131" s="191">
        <v>7.0579315803794493</v>
      </c>
      <c r="N131" s="192">
        <v>-4.9352691858871367E-2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305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v>2020</v>
      </c>
      <c r="D139" s="308"/>
      <c r="E139" s="309">
        <v>2021</v>
      </c>
      <c r="F139" s="308"/>
      <c r="G139" s="309">
        <v>2022</v>
      </c>
      <c r="H139" s="308"/>
      <c r="I139" s="309">
        <v>2023</v>
      </c>
      <c r="J139" s="308"/>
      <c r="K139" s="309">
        <v>2024</v>
      </c>
      <c r="L139" s="308"/>
      <c r="M139" s="309">
        <v>2025</v>
      </c>
      <c r="N139" s="310"/>
    </row>
    <row r="140" spans="2:15" ht="16.5" thickTop="1" thickBot="1" x14ac:dyDescent="0.3">
      <c r="B140" s="87"/>
      <c r="C140" s="116" t="s">
        <v>72</v>
      </c>
      <c r="D140" s="117" t="str">
        <f>CONCATENATE("dif ",RIGHT(C139,2),"/",RIGHT(C139-1,2))</f>
        <v>dif 20/19</v>
      </c>
      <c r="E140" s="118" t="s">
        <v>72</v>
      </c>
      <c r="F140" s="117" t="str">
        <f>CONCATENATE("dif ",RIGHT(E139,2),"/",RIGHT(C139,2))</f>
        <v>dif 21/20</v>
      </c>
      <c r="G140" s="118" t="s">
        <v>72</v>
      </c>
      <c r="H140" s="117" t="str">
        <f>CONCATENATE("dif ",RIGHT(G139,2),"/",RIGHT(E139,2))</f>
        <v>dif 22/21</v>
      </c>
      <c r="I140" s="118" t="s">
        <v>72</v>
      </c>
      <c r="J140" s="117" t="str">
        <f>CONCATENATE("dif ",RIGHT(I139,2),"/",RIGHT(G139,2))</f>
        <v>dif 23/22</v>
      </c>
      <c r="K140" s="118" t="s">
        <v>72</v>
      </c>
      <c r="L140" s="117" t="str">
        <f>CONCATENATE("dif ",RIGHT(K139,2),"/",RIGHT(I139,2))</f>
        <v>dif 24/23</v>
      </c>
      <c r="M140" s="118" t="s">
        <v>72</v>
      </c>
      <c r="N140" s="117" t="str">
        <f>CONCATENATE("dif ",RIGHT(M139,2),"/",RIGHT(K139,2))</f>
        <v>dif 25/24</v>
      </c>
    </row>
    <row r="141" spans="2:15" x14ac:dyDescent="0.25">
      <c r="B141" s="119" t="s">
        <v>74</v>
      </c>
      <c r="C141" s="189">
        <v>9.5090715048025611</v>
      </c>
      <c r="D141" s="190">
        <v>-0.44855901728579184</v>
      </c>
      <c r="E141" s="189">
        <v>7.4402985074626864</v>
      </c>
      <c r="F141" s="190">
        <f t="shared" ref="F141:J143" si="22">IFERROR(E141-C141,"-")</f>
        <v>-2.0687729973398747</v>
      </c>
      <c r="G141" s="189">
        <v>7.9859154929577461</v>
      </c>
      <c r="H141" s="190">
        <f t="shared" si="22"/>
        <v>0.54561698549505966</v>
      </c>
      <c r="I141" s="189">
        <v>8.3375719769673697</v>
      </c>
      <c r="J141" s="190">
        <f t="shared" si="22"/>
        <v>0.35165648400962368</v>
      </c>
      <c r="K141" s="189">
        <v>8.2255583126550871</v>
      </c>
      <c r="L141" s="190">
        <f t="shared" ref="L141:L143" si="23">IFERROR(K141-I141,"-")</f>
        <v>-0.11201366431228266</v>
      </c>
      <c r="M141" s="189">
        <v>7.8507638072855466</v>
      </c>
      <c r="N141" s="190">
        <f t="shared" ref="N141:N152" si="24">IFERROR(M141-K141,"-")</f>
        <v>-0.37479450536954051</v>
      </c>
    </row>
    <row r="142" spans="2:15" x14ac:dyDescent="0.25">
      <c r="B142" s="119" t="s">
        <v>76</v>
      </c>
      <c r="C142" s="189">
        <v>9.3424392342439226</v>
      </c>
      <c r="D142" s="190">
        <v>-0.17490770453158788</v>
      </c>
      <c r="E142" s="189">
        <v>7.4991482112436119</v>
      </c>
      <c r="F142" s="190">
        <f t="shared" si="22"/>
        <v>-1.8432910230003108</v>
      </c>
      <c r="G142" s="189">
        <v>7.6964968152866238</v>
      </c>
      <c r="H142" s="190">
        <f t="shared" si="22"/>
        <v>0.19734860404301191</v>
      </c>
      <c r="I142" s="189">
        <v>8.6180293501048215</v>
      </c>
      <c r="J142" s="190">
        <f t="shared" si="22"/>
        <v>0.92153253481819775</v>
      </c>
      <c r="K142" s="189">
        <v>7.8953536184210522</v>
      </c>
      <c r="L142" s="190">
        <f t="shared" si="23"/>
        <v>-0.72267573168376931</v>
      </c>
      <c r="M142" s="189">
        <v>7.3172382671480145</v>
      </c>
      <c r="N142" s="190">
        <f t="shared" si="24"/>
        <v>-0.5781153512730377</v>
      </c>
    </row>
    <row r="143" spans="2:15" x14ac:dyDescent="0.25">
      <c r="B143" s="119" t="s">
        <v>78</v>
      </c>
      <c r="C143" s="189">
        <v>7.4761502743773747</v>
      </c>
      <c r="D143" s="190">
        <v>-0.79990908553680384</v>
      </c>
      <c r="E143" s="189">
        <v>8.8174386920980918</v>
      </c>
      <c r="F143" s="190">
        <f t="shared" si="22"/>
        <v>1.3412884177207172</v>
      </c>
      <c r="G143" s="189">
        <v>7.957861469581248</v>
      </c>
      <c r="H143" s="190">
        <f t="shared" si="22"/>
        <v>-0.85957722251684388</v>
      </c>
      <c r="I143" s="189">
        <v>6.9426764585883314</v>
      </c>
      <c r="J143" s="190">
        <f t="shared" si="22"/>
        <v>-1.0151850109929166</v>
      </c>
      <c r="K143" s="189">
        <v>7.061682607846965</v>
      </c>
      <c r="L143" s="190">
        <f t="shared" si="23"/>
        <v>0.11900614925863362</v>
      </c>
      <c r="M143" s="189">
        <v>7.015480498592682</v>
      </c>
      <c r="N143" s="190">
        <f t="shared" si="24"/>
        <v>-4.620210925428303E-2</v>
      </c>
    </row>
    <row r="144" spans="2:15" x14ac:dyDescent="0.25">
      <c r="B144" s="119" t="s">
        <v>80</v>
      </c>
      <c r="C144" s="189" t="s">
        <v>298</v>
      </c>
      <c r="D144" s="190" t="s">
        <v>298</v>
      </c>
      <c r="E144" s="189">
        <v>6.8098720292504566</v>
      </c>
      <c r="F144" s="190" t="str">
        <f>IFERROR(E144-C144,"-")</f>
        <v>-</v>
      </c>
      <c r="G144" s="189">
        <v>7.6099382080329558</v>
      </c>
      <c r="H144" s="190">
        <f>IFERROR(G144-E144,"-")</f>
        <v>0.80006617878249919</v>
      </c>
      <c r="I144" s="189">
        <v>7.6405925155925152</v>
      </c>
      <c r="J144" s="190">
        <f>IFERROR(I144-G144,"-")</f>
        <v>3.0654307559559335E-2</v>
      </c>
      <c r="K144" s="189">
        <v>8.7732676138011012</v>
      </c>
      <c r="L144" s="190">
        <f>IFERROR(K144-I144,"-")</f>
        <v>1.132675098208586</v>
      </c>
      <c r="M144" s="189">
        <v>6.9936764064544263</v>
      </c>
      <c r="N144" s="190">
        <f t="shared" si="24"/>
        <v>-1.7795912073466749</v>
      </c>
    </row>
    <row r="145" spans="1:15" x14ac:dyDescent="0.25">
      <c r="B145" s="119" t="s">
        <v>82</v>
      </c>
      <c r="C145" s="189" t="s">
        <v>298</v>
      </c>
      <c r="D145" s="190" t="s">
        <v>298</v>
      </c>
      <c r="E145" s="189">
        <v>6.4708171206225682</v>
      </c>
      <c r="F145" s="190" t="str">
        <f t="shared" ref="F145:J153" si="25">IFERROR(E145-C145,"-")</f>
        <v>-</v>
      </c>
      <c r="G145" s="189">
        <v>8.9834313201496521</v>
      </c>
      <c r="H145" s="190">
        <f t="shared" si="25"/>
        <v>2.5126141995270839</v>
      </c>
      <c r="I145" s="189">
        <v>8.4921241050119338</v>
      </c>
      <c r="J145" s="190">
        <f t="shared" si="25"/>
        <v>-0.49130721513771825</v>
      </c>
      <c r="K145" s="189">
        <v>6.7299377061194576</v>
      </c>
      <c r="L145" s="190">
        <f t="shared" ref="L145:L153" si="26">IFERROR(K145-I145,"-")</f>
        <v>-1.7621863988924762</v>
      </c>
      <c r="M145" s="189">
        <v>7.045891931902295</v>
      </c>
      <c r="N145" s="190">
        <f t="shared" si="24"/>
        <v>0.31595422578283738</v>
      </c>
    </row>
    <row r="146" spans="1:15" x14ac:dyDescent="0.25">
      <c r="B146" s="119" t="s">
        <v>84</v>
      </c>
      <c r="C146" s="189" t="s">
        <v>298</v>
      </c>
      <c r="D146" s="190" t="s">
        <v>298</v>
      </c>
      <c r="E146" s="189">
        <v>8.1428571428571423</v>
      </c>
      <c r="F146" s="190" t="str">
        <f t="shared" si="25"/>
        <v>-</v>
      </c>
      <c r="G146" s="189">
        <v>8.091552226383687</v>
      </c>
      <c r="H146" s="190">
        <f t="shared" si="25"/>
        <v>-5.1304916473455364E-2</v>
      </c>
      <c r="I146" s="189">
        <v>7.9044607190412783</v>
      </c>
      <c r="J146" s="190">
        <f t="shared" si="25"/>
        <v>-0.18709150734240865</v>
      </c>
      <c r="K146" s="189">
        <v>8.5098308184727944</v>
      </c>
      <c r="L146" s="190">
        <f t="shared" si="26"/>
        <v>0.6053700994315161</v>
      </c>
      <c r="M146" s="189">
        <v>7.7001270648030493</v>
      </c>
      <c r="N146" s="190">
        <f t="shared" si="24"/>
        <v>-0.80970375366974512</v>
      </c>
    </row>
    <row r="147" spans="1:15" x14ac:dyDescent="0.25">
      <c r="B147" s="119" t="s">
        <v>86</v>
      </c>
      <c r="C147" s="189" t="s">
        <v>298</v>
      </c>
      <c r="D147" s="190" t="s">
        <v>298</v>
      </c>
      <c r="E147" s="189">
        <v>8.5867530597552193</v>
      </c>
      <c r="F147" s="190" t="str">
        <f t="shared" si="25"/>
        <v>-</v>
      </c>
      <c r="G147" s="189">
        <v>8.8038082284937094</v>
      </c>
      <c r="H147" s="190">
        <f t="shared" si="25"/>
        <v>0.21705516873849007</v>
      </c>
      <c r="I147" s="189">
        <v>8.3269841269841276</v>
      </c>
      <c r="J147" s="190">
        <f t="shared" si="25"/>
        <v>-0.47682410150958177</v>
      </c>
      <c r="K147" s="189">
        <v>8.7405295315682281</v>
      </c>
      <c r="L147" s="190">
        <f t="shared" si="26"/>
        <v>0.4135454045841005</v>
      </c>
      <c r="M147" s="189">
        <v>8.2076719576719572</v>
      </c>
      <c r="N147" s="190">
        <f t="shared" si="24"/>
        <v>-0.53285757389627086</v>
      </c>
    </row>
    <row r="148" spans="1:15" x14ac:dyDescent="0.25">
      <c r="B148" s="119" t="s">
        <v>88</v>
      </c>
      <c r="C148" s="189">
        <v>8.481906443071491</v>
      </c>
      <c r="D148" s="190">
        <v>-0.93244111413320852</v>
      </c>
      <c r="E148" s="189">
        <v>9.3118971061093241</v>
      </c>
      <c r="F148" s="190">
        <f t="shared" si="25"/>
        <v>0.82999066303783309</v>
      </c>
      <c r="G148" s="189">
        <v>9.3174354964816271</v>
      </c>
      <c r="H148" s="190">
        <f t="shared" si="25"/>
        <v>5.5383903723029704E-3</v>
      </c>
      <c r="I148" s="189">
        <v>7.833650190114068</v>
      </c>
      <c r="J148" s="190">
        <f t="shared" si="25"/>
        <v>-1.483785306367559</v>
      </c>
      <c r="K148" s="189">
        <v>8.2956239870340358</v>
      </c>
      <c r="L148" s="190">
        <f t="shared" si="26"/>
        <v>0.46197379691996776</v>
      </c>
      <c r="M148" s="189">
        <v>8.2979827089337181</v>
      </c>
      <c r="N148" s="190">
        <f t="shared" si="24"/>
        <v>2.3587218996823367E-3</v>
      </c>
    </row>
    <row r="149" spans="1:15" x14ac:dyDescent="0.25">
      <c r="B149" s="119" t="s">
        <v>90</v>
      </c>
      <c r="C149" s="189">
        <v>11.390756302521009</v>
      </c>
      <c r="D149" s="190">
        <v>2.2428429374919538</v>
      </c>
      <c r="E149" s="189">
        <v>7.0184448462929474</v>
      </c>
      <c r="F149" s="190">
        <f t="shared" si="25"/>
        <v>-4.3723114562280614</v>
      </c>
      <c r="G149" s="189">
        <v>7.8615384615384611</v>
      </c>
      <c r="H149" s="190">
        <f t="shared" si="25"/>
        <v>0.84309361524551374</v>
      </c>
      <c r="I149" s="189">
        <v>9.021781534460338</v>
      </c>
      <c r="J149" s="190">
        <f t="shared" si="25"/>
        <v>1.1602430729218769</v>
      </c>
      <c r="K149" s="189">
        <v>8.4622434017595314</v>
      </c>
      <c r="L149" s="190">
        <f t="shared" si="26"/>
        <v>-0.55953813270080666</v>
      </c>
      <c r="M149" s="189">
        <v>8.442612752721617</v>
      </c>
      <c r="N149" s="190">
        <f t="shared" si="24"/>
        <v>-1.9630649037914338E-2</v>
      </c>
    </row>
    <row r="150" spans="1:15" x14ac:dyDescent="0.25">
      <c r="A150" s="125"/>
      <c r="B150" s="119" t="s">
        <v>92</v>
      </c>
      <c r="C150" s="189">
        <v>4.0893371757925072</v>
      </c>
      <c r="D150" s="190">
        <v>-4.185494961276258</v>
      </c>
      <c r="E150" s="189">
        <v>7.649340770791075</v>
      </c>
      <c r="F150" s="190">
        <f t="shared" si="25"/>
        <v>3.5600035949985678</v>
      </c>
      <c r="G150" s="189">
        <v>6.9212454212454215</v>
      </c>
      <c r="H150" s="190">
        <f t="shared" si="25"/>
        <v>-0.72809534954565347</v>
      </c>
      <c r="I150" s="189">
        <v>7.6678996036988112</v>
      </c>
      <c r="J150" s="190">
        <f t="shared" si="25"/>
        <v>0.74665418245338966</v>
      </c>
      <c r="K150" s="189">
        <v>7.5347514222112295</v>
      </c>
      <c r="L150" s="190">
        <f t="shared" si="26"/>
        <v>-0.13314818148758167</v>
      </c>
      <c r="M150" s="189">
        <v>7.1342542628966115</v>
      </c>
      <c r="N150" s="190">
        <f t="shared" si="24"/>
        <v>-0.40049715931461805</v>
      </c>
    </row>
    <row r="151" spans="1:15" x14ac:dyDescent="0.25">
      <c r="B151" s="119" t="s">
        <v>94</v>
      </c>
      <c r="C151" s="189">
        <v>7.0916473317865432</v>
      </c>
      <c r="D151" s="190">
        <v>-1.5586769719143341</v>
      </c>
      <c r="E151" s="189">
        <v>8.677560868611538</v>
      </c>
      <c r="F151" s="190">
        <f t="shared" si="25"/>
        <v>1.5859135368249948</v>
      </c>
      <c r="G151" s="189">
        <v>7.9767991407089154</v>
      </c>
      <c r="H151" s="190">
        <f t="shared" si="25"/>
        <v>-0.70076172790262259</v>
      </c>
      <c r="I151" s="189">
        <v>7.7531120331950207</v>
      </c>
      <c r="J151" s="190">
        <f t="shared" si="25"/>
        <v>-0.22368710751389465</v>
      </c>
      <c r="K151" s="189">
        <v>8.7660125080871261</v>
      </c>
      <c r="L151" s="190">
        <f t="shared" si="26"/>
        <v>1.0129004748921053</v>
      </c>
      <c r="M151" s="189">
        <v>7.0274936061381075</v>
      </c>
      <c r="N151" s="190">
        <f t="shared" si="24"/>
        <v>-1.7385189019490186</v>
      </c>
    </row>
    <row r="152" spans="1:15" x14ac:dyDescent="0.25">
      <c r="B152" s="119" t="s">
        <v>96</v>
      </c>
      <c r="C152" s="189">
        <v>8.4836065573770494</v>
      </c>
      <c r="D152" s="190">
        <v>-1.8292216496747127</v>
      </c>
      <c r="E152" s="189">
        <v>8.1219634360130222</v>
      </c>
      <c r="F152" s="190">
        <f t="shared" si="25"/>
        <v>-0.36164312136402721</v>
      </c>
      <c r="G152" s="189">
        <v>7.4764606977721728</v>
      </c>
      <c r="H152" s="190">
        <f t="shared" si="25"/>
        <v>-0.64550273824084936</v>
      </c>
      <c r="I152" s="189">
        <v>7.5746733668341708</v>
      </c>
      <c r="J152" s="190">
        <f t="shared" si="25"/>
        <v>9.8212669061997993E-2</v>
      </c>
      <c r="K152" s="189">
        <v>8.1038483852252945</v>
      </c>
      <c r="L152" s="190">
        <f t="shared" si="26"/>
        <v>0.52917501839112369</v>
      </c>
      <c r="M152" s="189">
        <v>7.5214056368176951</v>
      </c>
      <c r="N152" s="190">
        <f t="shared" si="24"/>
        <v>-0.58244274840759935</v>
      </c>
    </row>
    <row r="153" spans="1:15" ht="15.75" x14ac:dyDescent="0.25">
      <c r="B153" s="122" t="s">
        <v>33</v>
      </c>
      <c r="C153" s="191">
        <v>8.6537533263196984</v>
      </c>
      <c r="D153" s="192">
        <v>-0.33317440406712606</v>
      </c>
      <c r="E153" s="191">
        <v>8.0097500686624556</v>
      </c>
      <c r="F153" s="192">
        <f t="shared" si="25"/>
        <v>-0.64400325765724276</v>
      </c>
      <c r="G153" s="191">
        <v>7.9646805896805901</v>
      </c>
      <c r="H153" s="192">
        <f t="shared" si="25"/>
        <v>-4.5069478981865529E-2</v>
      </c>
      <c r="I153" s="191">
        <v>7.9426405727077283</v>
      </c>
      <c r="J153" s="192">
        <f t="shared" si="25"/>
        <v>-2.2040016972861842E-2</v>
      </c>
      <c r="K153" s="191">
        <v>8.0473697220287193</v>
      </c>
      <c r="L153" s="192">
        <f t="shared" si="26"/>
        <v>0.10472914932099098</v>
      </c>
      <c r="M153" s="191">
        <v>7.4753981034174268</v>
      </c>
      <c r="N153" s="192">
        <v>-0.57197161861129242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306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v>2020</v>
      </c>
      <c r="D161" s="308"/>
      <c r="E161" s="309">
        <v>2021</v>
      </c>
      <c r="F161" s="308"/>
      <c r="G161" s="309">
        <v>2022</v>
      </c>
      <c r="H161" s="308"/>
      <c r="I161" s="309">
        <v>2023</v>
      </c>
      <c r="J161" s="308"/>
      <c r="K161" s="309">
        <v>2024</v>
      </c>
      <c r="L161" s="308"/>
      <c r="M161" s="309">
        <v>2025</v>
      </c>
      <c r="N161" s="310"/>
    </row>
    <row r="162" spans="2:14" ht="16.5" thickTop="1" thickBot="1" x14ac:dyDescent="0.3">
      <c r="B162" s="87"/>
      <c r="C162" s="116" t="s">
        <v>72</v>
      </c>
      <c r="D162" s="117" t="str">
        <f>CONCATENATE("dif ",RIGHT(C161,2),"/",RIGHT(C161-1,2))</f>
        <v>dif 20/19</v>
      </c>
      <c r="E162" s="118" t="s">
        <v>72</v>
      </c>
      <c r="F162" s="117" t="str">
        <f>CONCATENATE("dif ",RIGHT(E161,2),"/",RIGHT(C161,2))</f>
        <v>dif 21/20</v>
      </c>
      <c r="G162" s="118" t="s">
        <v>72</v>
      </c>
      <c r="H162" s="117" t="str">
        <f>CONCATENATE("dif ",RIGHT(G161,2),"/",RIGHT(E161,2))</f>
        <v>dif 22/21</v>
      </c>
      <c r="I162" s="118" t="s">
        <v>72</v>
      </c>
      <c r="J162" s="117" t="str">
        <f>CONCATENATE("dif ",RIGHT(I161,2),"/",RIGHT(G161,2))</f>
        <v>dif 23/22</v>
      </c>
      <c r="K162" s="118" t="s">
        <v>72</v>
      </c>
      <c r="L162" s="117" t="str">
        <f>CONCATENATE("dif ",RIGHT(K161,2),"/",RIGHT(I161,2))</f>
        <v>dif 24/23</v>
      </c>
      <c r="M162" s="118" t="s">
        <v>72</v>
      </c>
      <c r="N162" s="117" t="str">
        <f>CONCATENATE("dif ",RIGHT(M161,2),"/",RIGHT(K161,2))</f>
        <v>dif 25/24</v>
      </c>
    </row>
    <row r="163" spans="2:14" x14ac:dyDescent="0.25">
      <c r="B163" s="119" t="s">
        <v>74</v>
      </c>
      <c r="C163" s="189">
        <v>7.7611301369863011</v>
      </c>
      <c r="D163" s="190">
        <v>-0.55959603547965919</v>
      </c>
      <c r="E163" s="189">
        <v>5.3532684283727399</v>
      </c>
      <c r="F163" s="190">
        <f t="shared" ref="F163:J165" si="27">IFERROR(E163-C163,"-")</f>
        <v>-2.4078617086135612</v>
      </c>
      <c r="G163" s="189">
        <v>7.27756445419638</v>
      </c>
      <c r="H163" s="190">
        <f t="shared" si="27"/>
        <v>1.9242960258236401</v>
      </c>
      <c r="I163" s="189">
        <v>8.6011770031688553</v>
      </c>
      <c r="J163" s="190">
        <f t="shared" si="27"/>
        <v>1.3236125489724753</v>
      </c>
      <c r="K163" s="189">
        <v>8.8268962308050263</v>
      </c>
      <c r="L163" s="190">
        <f t="shared" ref="L163:L165" si="28">IFERROR(K163-I163,"-")</f>
        <v>0.22571922763617103</v>
      </c>
      <c r="M163" s="189">
        <v>8.8061916878710775</v>
      </c>
      <c r="N163" s="190">
        <f t="shared" ref="N163:N174" si="29">IFERROR(M163-K163,"-")</f>
        <v>-2.0704542933948744E-2</v>
      </c>
    </row>
    <row r="164" spans="2:14" x14ac:dyDescent="0.25">
      <c r="B164" s="119" t="s">
        <v>76</v>
      </c>
      <c r="C164" s="189">
        <v>7.2339095255608683</v>
      </c>
      <c r="D164" s="190">
        <v>-0.32059867116044316</v>
      </c>
      <c r="E164" s="189">
        <v>5.2528409090909092</v>
      </c>
      <c r="F164" s="190">
        <f t="shared" si="27"/>
        <v>-1.9810686164699591</v>
      </c>
      <c r="G164" s="189">
        <v>6.850265352539803</v>
      </c>
      <c r="H164" s="190">
        <f t="shared" si="27"/>
        <v>1.5974244434488938</v>
      </c>
      <c r="I164" s="189">
        <v>7.0878425860857339</v>
      </c>
      <c r="J164" s="190">
        <f t="shared" si="27"/>
        <v>0.23757723354593097</v>
      </c>
      <c r="K164" s="189">
        <v>6.7028140013726834</v>
      </c>
      <c r="L164" s="190">
        <f t="shared" si="28"/>
        <v>-0.38502858471305057</v>
      </c>
      <c r="M164" s="189">
        <v>7.1715417428397314</v>
      </c>
      <c r="N164" s="190">
        <f t="shared" si="29"/>
        <v>0.4687277414670481</v>
      </c>
    </row>
    <row r="165" spans="2:14" x14ac:dyDescent="0.25">
      <c r="B165" s="119" t="s">
        <v>78</v>
      </c>
      <c r="C165" s="189">
        <v>7.821236559139785</v>
      </c>
      <c r="D165" s="190">
        <v>1.0018057446157416</v>
      </c>
      <c r="E165" s="189">
        <v>6.3903548680618742</v>
      </c>
      <c r="F165" s="190">
        <f t="shared" si="27"/>
        <v>-1.4308816910779107</v>
      </c>
      <c r="G165" s="189">
        <v>6.9960352422907492</v>
      </c>
      <c r="H165" s="190">
        <f t="shared" si="27"/>
        <v>0.605680374228875</v>
      </c>
      <c r="I165" s="189">
        <v>8.7546928327645048</v>
      </c>
      <c r="J165" s="190">
        <f t="shared" si="27"/>
        <v>1.7586575904737556</v>
      </c>
      <c r="K165" s="189">
        <v>8.3068920676202858</v>
      </c>
      <c r="L165" s="190">
        <f t="shared" si="28"/>
        <v>-0.44780076514421907</v>
      </c>
      <c r="M165" s="189">
        <v>7.7336080929186961</v>
      </c>
      <c r="N165" s="190">
        <f t="shared" si="29"/>
        <v>-0.57328397470158965</v>
      </c>
    </row>
    <row r="166" spans="2:14" x14ac:dyDescent="0.25">
      <c r="B166" s="119" t="s">
        <v>80</v>
      </c>
      <c r="C166" s="189" t="s">
        <v>298</v>
      </c>
      <c r="D166" s="190" t="s">
        <v>298</v>
      </c>
      <c r="E166" s="189">
        <v>5.1320987654320991</v>
      </c>
      <c r="F166" s="190" t="str">
        <f>IFERROR(E166-C166,"-")</f>
        <v>-</v>
      </c>
      <c r="G166" s="189">
        <v>5.7793180966654178</v>
      </c>
      <c r="H166" s="190">
        <f>IFERROR(G166-E166,"-")</f>
        <v>0.64721933123331876</v>
      </c>
      <c r="I166" s="189">
        <v>7.087134502923977</v>
      </c>
      <c r="J166" s="190">
        <f>IFERROR(I166-G166,"-")</f>
        <v>1.3078164062585591</v>
      </c>
      <c r="K166" s="189">
        <v>7.6285998013902683</v>
      </c>
      <c r="L166" s="190">
        <f>IFERROR(K166-I166,"-")</f>
        <v>0.54146529846629132</v>
      </c>
      <c r="M166" s="189">
        <v>7.1565849923430322</v>
      </c>
      <c r="N166" s="190">
        <f t="shared" si="29"/>
        <v>-0.47201480904723603</v>
      </c>
    </row>
    <row r="167" spans="2:14" x14ac:dyDescent="0.25">
      <c r="B167" s="119" t="s">
        <v>82</v>
      </c>
      <c r="C167" s="189" t="s">
        <v>298</v>
      </c>
      <c r="D167" s="190" t="s">
        <v>298</v>
      </c>
      <c r="E167" s="189">
        <v>5.4194139194139197</v>
      </c>
      <c r="F167" s="190" t="str">
        <f t="shared" ref="F167:J175" si="30">IFERROR(E167-C167,"-")</f>
        <v>-</v>
      </c>
      <c r="G167" s="189">
        <v>6.5626134301270413</v>
      </c>
      <c r="H167" s="190">
        <f t="shared" si="30"/>
        <v>1.1431995107131216</v>
      </c>
      <c r="I167" s="189">
        <v>8.4859525899912196</v>
      </c>
      <c r="J167" s="190">
        <f t="shared" si="30"/>
        <v>1.9233391598641782</v>
      </c>
      <c r="K167" s="189">
        <v>8.477672530446549</v>
      </c>
      <c r="L167" s="190">
        <f t="shared" ref="L167:L175" si="31">IFERROR(K167-I167,"-")</f>
        <v>-8.2800595446705927E-3</v>
      </c>
      <c r="M167" s="189">
        <v>7.1006600660066006</v>
      </c>
      <c r="N167" s="190">
        <f t="shared" si="29"/>
        <v>-1.3770124644399484</v>
      </c>
    </row>
    <row r="168" spans="2:14" x14ac:dyDescent="0.25">
      <c r="B168" s="119" t="s">
        <v>84</v>
      </c>
      <c r="C168" s="189" t="s">
        <v>298</v>
      </c>
      <c r="D168" s="190" t="s">
        <v>298</v>
      </c>
      <c r="E168" s="189">
        <v>6.1223491027732466</v>
      </c>
      <c r="F168" s="190" t="str">
        <f t="shared" si="30"/>
        <v>-</v>
      </c>
      <c r="G168" s="189">
        <v>7.2028608582574769</v>
      </c>
      <c r="H168" s="190">
        <f t="shared" si="30"/>
        <v>1.0805117554842303</v>
      </c>
      <c r="I168" s="189">
        <v>9.0575418994413415</v>
      </c>
      <c r="J168" s="190">
        <f t="shared" si="30"/>
        <v>1.8546810411838646</v>
      </c>
      <c r="K168" s="189">
        <v>8.6951278340569225</v>
      </c>
      <c r="L168" s="190">
        <f t="shared" si="31"/>
        <v>-0.362414065384419</v>
      </c>
      <c r="M168" s="189">
        <v>7.7918905715681488</v>
      </c>
      <c r="N168" s="190">
        <f t="shared" si="29"/>
        <v>-0.90323726248877367</v>
      </c>
    </row>
    <row r="169" spans="2:14" x14ac:dyDescent="0.25">
      <c r="B169" s="119" t="s">
        <v>86</v>
      </c>
      <c r="C169" s="189" t="s">
        <v>298</v>
      </c>
      <c r="D169" s="190" t="s">
        <v>298</v>
      </c>
      <c r="E169" s="189">
        <v>7.2056772908366531</v>
      </c>
      <c r="F169" s="190" t="str">
        <f t="shared" si="30"/>
        <v>-</v>
      </c>
      <c r="G169" s="189">
        <v>7.3701103309929792</v>
      </c>
      <c r="H169" s="190">
        <f t="shared" si="30"/>
        <v>0.16443304015632609</v>
      </c>
      <c r="I169" s="189">
        <v>8.2518445646827345</v>
      </c>
      <c r="J169" s="190">
        <f t="shared" si="30"/>
        <v>0.88173423368975534</v>
      </c>
      <c r="K169" s="189">
        <v>9.6268456375838927</v>
      </c>
      <c r="L169" s="190">
        <f t="shared" si="31"/>
        <v>1.3750010729011581</v>
      </c>
      <c r="M169" s="189">
        <v>8.1757754800590838</v>
      </c>
      <c r="N169" s="190">
        <f t="shared" si="29"/>
        <v>-1.4510701575248088</v>
      </c>
    </row>
    <row r="170" spans="2:14" x14ac:dyDescent="0.25">
      <c r="B170" s="119" t="s">
        <v>88</v>
      </c>
      <c r="C170" s="189">
        <v>7.9475890985324948</v>
      </c>
      <c r="D170" s="190">
        <v>-0.77331094473881556</v>
      </c>
      <c r="E170" s="189">
        <v>8.1553235908141968</v>
      </c>
      <c r="F170" s="190">
        <f t="shared" si="30"/>
        <v>0.20773449228170193</v>
      </c>
      <c r="G170" s="189">
        <v>9.1632016632016633</v>
      </c>
      <c r="H170" s="190">
        <f t="shared" si="30"/>
        <v>1.0078780723874665</v>
      </c>
      <c r="I170" s="189">
        <v>9.676109215017064</v>
      </c>
      <c r="J170" s="190">
        <f t="shared" si="30"/>
        <v>0.51290755181540071</v>
      </c>
      <c r="K170" s="189">
        <v>8.7766185946609383</v>
      </c>
      <c r="L170" s="190">
        <f t="shared" si="31"/>
        <v>-0.8994906203561257</v>
      </c>
      <c r="M170" s="189">
        <v>8.492403689636463</v>
      </c>
      <c r="N170" s="190">
        <f t="shared" si="29"/>
        <v>-0.28421490502447533</v>
      </c>
    </row>
    <row r="171" spans="2:14" x14ac:dyDescent="0.25">
      <c r="B171" s="119" t="s">
        <v>90</v>
      </c>
      <c r="C171" s="189">
        <v>6.5869565217391308</v>
      </c>
      <c r="D171" s="190">
        <v>-0.75996983249093653</v>
      </c>
      <c r="E171" s="189">
        <v>6.6915278783490226</v>
      </c>
      <c r="F171" s="190">
        <f t="shared" si="30"/>
        <v>0.10457135660989181</v>
      </c>
      <c r="G171" s="189">
        <v>8.2704333516182125</v>
      </c>
      <c r="H171" s="190">
        <f t="shared" si="30"/>
        <v>1.5789054732691898</v>
      </c>
      <c r="I171" s="189">
        <v>10.120506329113924</v>
      </c>
      <c r="J171" s="190">
        <f t="shared" si="30"/>
        <v>1.8500729774957119</v>
      </c>
      <c r="K171" s="189">
        <v>9.769729729729729</v>
      </c>
      <c r="L171" s="190">
        <f t="shared" si="31"/>
        <v>-0.35077659938419536</v>
      </c>
      <c r="M171" s="189">
        <v>8.0982472324723247</v>
      </c>
      <c r="N171" s="190">
        <f t="shared" si="29"/>
        <v>-1.6714824972574043</v>
      </c>
    </row>
    <row r="172" spans="2:14" x14ac:dyDescent="0.25">
      <c r="B172" s="119" t="s">
        <v>92</v>
      </c>
      <c r="C172" s="189">
        <v>5.5279225614296355</v>
      </c>
      <c r="D172" s="190">
        <v>-1.2002471474998169</v>
      </c>
      <c r="E172" s="189">
        <v>5.5348399246704334</v>
      </c>
      <c r="F172" s="190">
        <f t="shared" si="30"/>
        <v>6.9173632407979468E-3</v>
      </c>
      <c r="G172" s="189">
        <v>6.9806382215847975</v>
      </c>
      <c r="H172" s="190">
        <f t="shared" si="30"/>
        <v>1.4457982969143641</v>
      </c>
      <c r="I172" s="189">
        <v>8.2170378225521379</v>
      </c>
      <c r="J172" s="190">
        <f t="shared" si="30"/>
        <v>1.2363996009673404</v>
      </c>
      <c r="K172" s="189">
        <v>7.9131231671554252</v>
      </c>
      <c r="L172" s="190">
        <f t="shared" si="31"/>
        <v>-0.3039146553967127</v>
      </c>
      <c r="M172" s="189">
        <v>7.094327176781003</v>
      </c>
      <c r="N172" s="190">
        <f t="shared" si="29"/>
        <v>-0.81879599037442219</v>
      </c>
    </row>
    <row r="173" spans="2:14" x14ac:dyDescent="0.25">
      <c r="B173" s="119" t="s">
        <v>94</v>
      </c>
      <c r="C173" s="189">
        <v>6.1956521739130439</v>
      </c>
      <c r="D173" s="190">
        <v>-0.32657547630678962</v>
      </c>
      <c r="E173" s="189">
        <v>6.7884700665188467</v>
      </c>
      <c r="F173" s="190">
        <f t="shared" si="30"/>
        <v>0.59281789260580275</v>
      </c>
      <c r="G173" s="189">
        <v>7.6692268305171529</v>
      </c>
      <c r="H173" s="190">
        <f t="shared" si="30"/>
        <v>0.88075676399830627</v>
      </c>
      <c r="I173" s="189">
        <v>9.6416397973284198</v>
      </c>
      <c r="J173" s="190">
        <f t="shared" si="30"/>
        <v>1.9724129668112669</v>
      </c>
      <c r="K173" s="189">
        <v>8.7458977965307074</v>
      </c>
      <c r="L173" s="190">
        <f t="shared" si="31"/>
        <v>-0.89574200079771238</v>
      </c>
      <c r="M173" s="189">
        <v>6.8214685054043978</v>
      </c>
      <c r="N173" s="190">
        <f t="shared" si="29"/>
        <v>-1.9244292911263097</v>
      </c>
    </row>
    <row r="174" spans="2:14" x14ac:dyDescent="0.25">
      <c r="B174" s="119" t="s">
        <v>96</v>
      </c>
      <c r="C174" s="189">
        <v>5.0719225449515903</v>
      </c>
      <c r="D174" s="190">
        <v>-1.7471842950710217</v>
      </c>
      <c r="E174" s="189">
        <v>6.5944086021505379</v>
      </c>
      <c r="F174" s="190">
        <f t="shared" si="30"/>
        <v>1.5224860571989476</v>
      </c>
      <c r="G174" s="189">
        <v>7.4792987691160011</v>
      </c>
      <c r="H174" s="190">
        <f t="shared" si="30"/>
        <v>0.88489016696546319</v>
      </c>
      <c r="I174" s="189">
        <v>9.2547491475888943</v>
      </c>
      <c r="J174" s="190">
        <f t="shared" si="30"/>
        <v>1.7754503784728932</v>
      </c>
      <c r="K174" s="189">
        <v>8.897830018083182</v>
      </c>
      <c r="L174" s="190">
        <f t="shared" si="31"/>
        <v>-0.35691912950571236</v>
      </c>
      <c r="M174" s="189">
        <v>7.2388604821037257</v>
      </c>
      <c r="N174" s="190">
        <f t="shared" si="29"/>
        <v>-1.6589695359794563</v>
      </c>
    </row>
    <row r="175" spans="2:14" ht="15.75" x14ac:dyDescent="0.25">
      <c r="B175" s="122" t="s">
        <v>33</v>
      </c>
      <c r="C175" s="191">
        <v>6.9931972789115644</v>
      </c>
      <c r="D175" s="192">
        <v>-0.3170670111929228</v>
      </c>
      <c r="E175" s="191">
        <v>6.3951503589537628</v>
      </c>
      <c r="F175" s="192">
        <f t="shared" si="30"/>
        <v>-0.59804691995780157</v>
      </c>
      <c r="G175" s="191">
        <v>7.2943743582220915</v>
      </c>
      <c r="H175" s="192">
        <f t="shared" si="30"/>
        <v>0.89922399926832863</v>
      </c>
      <c r="I175" s="191">
        <v>8.5798185469907882</v>
      </c>
      <c r="J175" s="192">
        <f t="shared" si="30"/>
        <v>1.2854441887686967</v>
      </c>
      <c r="K175" s="191">
        <v>8.4420922400164962</v>
      </c>
      <c r="L175" s="192">
        <f t="shared" si="31"/>
        <v>-0.137726306974292</v>
      </c>
      <c r="M175" s="191">
        <v>7.6350788409911443</v>
      </c>
      <c r="N175" s="192">
        <v>-0.80701339902535185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307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v>2020</v>
      </c>
      <c r="D183" s="308"/>
      <c r="E183" s="309">
        <v>2021</v>
      </c>
      <c r="F183" s="308"/>
      <c r="G183" s="309">
        <v>2022</v>
      </c>
      <c r="H183" s="308"/>
      <c r="I183" s="309">
        <v>2023</v>
      </c>
      <c r="J183" s="308"/>
      <c r="K183" s="309">
        <v>2024</v>
      </c>
      <c r="L183" s="308"/>
      <c r="M183" s="309">
        <v>2025</v>
      </c>
      <c r="N183" s="310"/>
    </row>
    <row r="184" spans="1:15" ht="16.5" thickTop="1" thickBot="1" x14ac:dyDescent="0.3">
      <c r="B184" s="87"/>
      <c r="C184" s="116" t="s">
        <v>72</v>
      </c>
      <c r="D184" s="117" t="str">
        <f>CONCATENATE("dif ",RIGHT(C183,2),"/",RIGHT(C183-1,2))</f>
        <v>dif 20/19</v>
      </c>
      <c r="E184" s="118" t="s">
        <v>72</v>
      </c>
      <c r="F184" s="117" t="str">
        <f>CONCATENATE("dif ",RIGHT(E183,2),"/",RIGHT(C183,2))</f>
        <v>dif 21/20</v>
      </c>
      <c r="G184" s="118" t="s">
        <v>72</v>
      </c>
      <c r="H184" s="117" t="str">
        <f>CONCATENATE("dif ",RIGHT(G183,2),"/",RIGHT(E183,2))</f>
        <v>dif 22/21</v>
      </c>
      <c r="I184" s="118" t="s">
        <v>72</v>
      </c>
      <c r="J184" s="117" t="str">
        <f>CONCATENATE("dif ",RIGHT(I183,2),"/",RIGHT(G183,2))</f>
        <v>dif 23/22</v>
      </c>
      <c r="K184" s="118" t="s">
        <v>72</v>
      </c>
      <c r="L184" s="117" t="str">
        <f>CONCATENATE("dif ",RIGHT(K183,2),"/",RIGHT(I183,2))</f>
        <v>dif 24/23</v>
      </c>
      <c r="M184" s="118" t="s">
        <v>72</v>
      </c>
      <c r="N184" s="117" t="str">
        <f>CONCATENATE("dif ",RIGHT(M183,2),"/",RIGHT(K183,2))</f>
        <v>dif 25/24</v>
      </c>
    </row>
    <row r="185" spans="1:15" x14ac:dyDescent="0.25">
      <c r="A185" s="125"/>
      <c r="B185" s="119" t="s">
        <v>74</v>
      </c>
      <c r="C185" s="189">
        <v>8.7057728119180631</v>
      </c>
      <c r="D185" s="190">
        <v>0.31876789346090462</v>
      </c>
      <c r="E185" s="189">
        <v>8.28169014084507</v>
      </c>
      <c r="F185" s="190">
        <f t="shared" ref="F185:J187" si="32">IFERROR(E185-C185,"-")</f>
        <v>-0.42408267107299302</v>
      </c>
      <c r="G185" s="189">
        <v>8.8435324294613409</v>
      </c>
      <c r="H185" s="190">
        <f t="shared" si="32"/>
        <v>0.56184228861627084</v>
      </c>
      <c r="I185" s="189">
        <v>8.3992114342040409</v>
      </c>
      <c r="J185" s="190">
        <f t="shared" si="32"/>
        <v>-0.44432099525729996</v>
      </c>
      <c r="K185" s="189">
        <v>8.608603667136812</v>
      </c>
      <c r="L185" s="190">
        <f t="shared" ref="L185:L187" si="33">IFERROR(K185-I185,"-")</f>
        <v>0.20939223293277109</v>
      </c>
      <c r="M185" s="189">
        <v>9.9277667329357193</v>
      </c>
      <c r="N185" s="190">
        <f t="shared" ref="N185:N196" si="34">IFERROR(M185-K185,"-")</f>
        <v>1.3191630657989073</v>
      </c>
    </row>
    <row r="186" spans="1:15" x14ac:dyDescent="0.25">
      <c r="B186" s="119" t="s">
        <v>76</v>
      </c>
      <c r="C186" s="189">
        <v>8.6076173604960147</v>
      </c>
      <c r="D186" s="190">
        <v>-0.35278580725056585</v>
      </c>
      <c r="E186" s="189">
        <v>11.728813559322035</v>
      </c>
      <c r="F186" s="190">
        <f t="shared" si="32"/>
        <v>3.12119619882602</v>
      </c>
      <c r="G186" s="189">
        <v>7.5259042033235586</v>
      </c>
      <c r="H186" s="190">
        <f t="shared" si="32"/>
        <v>-4.202909355998476</v>
      </c>
      <c r="I186" s="189">
        <v>8.727555141348244</v>
      </c>
      <c r="J186" s="190">
        <f t="shared" si="32"/>
        <v>1.2016509380246854</v>
      </c>
      <c r="K186" s="189">
        <v>8.2370138345079607</v>
      </c>
      <c r="L186" s="190">
        <f t="shared" si="33"/>
        <v>-0.4905413068402833</v>
      </c>
      <c r="M186" s="189">
        <v>8.4852703140174821</v>
      </c>
      <c r="N186" s="190">
        <f t="shared" si="34"/>
        <v>0.24825647950952145</v>
      </c>
    </row>
    <row r="187" spans="1:15" x14ac:dyDescent="0.25">
      <c r="B187" s="119" t="s">
        <v>78</v>
      </c>
      <c r="C187" s="189">
        <v>10.733630952380953</v>
      </c>
      <c r="D187" s="190">
        <v>2.9163866097857074</v>
      </c>
      <c r="E187" s="189">
        <v>9.907692307692308</v>
      </c>
      <c r="F187" s="190">
        <f t="shared" si="32"/>
        <v>-0.82593864468864453</v>
      </c>
      <c r="G187" s="189">
        <v>8.6417662682602927</v>
      </c>
      <c r="H187" s="190">
        <f t="shared" si="32"/>
        <v>-1.2659260394320153</v>
      </c>
      <c r="I187" s="189">
        <v>8.664422395464209</v>
      </c>
      <c r="J187" s="190">
        <f t="shared" si="32"/>
        <v>2.2656127203916299E-2</v>
      </c>
      <c r="K187" s="189">
        <v>7.8031830238726787</v>
      </c>
      <c r="L187" s="190">
        <f t="shared" si="33"/>
        <v>-0.8612393715915303</v>
      </c>
      <c r="M187" s="189">
        <v>8.5837063563115485</v>
      </c>
      <c r="N187" s="190">
        <f t="shared" si="34"/>
        <v>0.78052333243886984</v>
      </c>
    </row>
    <row r="188" spans="1:15" x14ac:dyDescent="0.25">
      <c r="B188" s="119" t="s">
        <v>80</v>
      </c>
      <c r="C188" s="189" t="s">
        <v>298</v>
      </c>
      <c r="D188" s="190" t="s">
        <v>298</v>
      </c>
      <c r="E188" s="189">
        <v>5.2430939226519335</v>
      </c>
      <c r="F188" s="190" t="str">
        <f>IFERROR(E188-C188,"-")</f>
        <v>-</v>
      </c>
      <c r="G188" s="189">
        <v>7.0787526427061307</v>
      </c>
      <c r="H188" s="190">
        <f>IFERROR(G188-E188,"-")</f>
        <v>1.8356587200541972</v>
      </c>
      <c r="I188" s="189">
        <v>7.7432362122788758</v>
      </c>
      <c r="J188" s="190">
        <f>IFERROR(I188-G188,"-")</f>
        <v>0.66448356957274513</v>
      </c>
      <c r="K188" s="189">
        <v>8.3330936975796792</v>
      </c>
      <c r="L188" s="190">
        <f>IFERROR(K188-I188,"-")</f>
        <v>0.5898574853008034</v>
      </c>
      <c r="M188" s="189">
        <v>7.3403496254013554</v>
      </c>
      <c r="N188" s="190">
        <f t="shared" si="34"/>
        <v>-0.99274407217832383</v>
      </c>
    </row>
    <row r="189" spans="1:15" x14ac:dyDescent="0.25">
      <c r="B189" s="119" t="s">
        <v>82</v>
      </c>
      <c r="C189" s="189" t="s">
        <v>298</v>
      </c>
      <c r="D189" s="190" t="s">
        <v>298</v>
      </c>
      <c r="E189" s="189">
        <v>6.009615384615385</v>
      </c>
      <c r="F189" s="190" t="str">
        <f t="shared" ref="F189:J197" si="35">IFERROR(E189-C189,"-")</f>
        <v>-</v>
      </c>
      <c r="G189" s="189">
        <v>8.3211458725970591</v>
      </c>
      <c r="H189" s="190">
        <f t="shared" si="35"/>
        <v>2.311530487981674</v>
      </c>
      <c r="I189" s="189">
        <v>8.3223995271867608</v>
      </c>
      <c r="J189" s="190">
        <f t="shared" si="35"/>
        <v>1.2536545897017248E-3</v>
      </c>
      <c r="K189" s="189">
        <v>7.6908373786407767</v>
      </c>
      <c r="L189" s="190">
        <f t="shared" ref="L189:L197" si="36">IFERROR(K189-I189,"-")</f>
        <v>-0.63156214854598414</v>
      </c>
      <c r="M189" s="189">
        <v>7.8070392096326025</v>
      </c>
      <c r="N189" s="190">
        <f t="shared" si="34"/>
        <v>0.11620183099182579</v>
      </c>
    </row>
    <row r="190" spans="1:15" x14ac:dyDescent="0.25">
      <c r="B190" s="119" t="s">
        <v>123</v>
      </c>
      <c r="C190" s="189" t="s">
        <v>298</v>
      </c>
      <c r="D190" s="190" t="s">
        <v>298</v>
      </c>
      <c r="E190" s="189">
        <v>7.8949447077409163</v>
      </c>
      <c r="F190" s="190" t="str">
        <f t="shared" si="35"/>
        <v>-</v>
      </c>
      <c r="G190" s="189">
        <v>8.8187972919155708</v>
      </c>
      <c r="H190" s="190">
        <f t="shared" si="35"/>
        <v>0.92385258417465455</v>
      </c>
      <c r="I190" s="189">
        <v>8.9193006052454606</v>
      </c>
      <c r="J190" s="190">
        <f t="shared" si="35"/>
        <v>0.10050331332988982</v>
      </c>
      <c r="K190" s="189">
        <v>8.4891791044776124</v>
      </c>
      <c r="L190" s="190">
        <f t="shared" si="36"/>
        <v>-0.43012150076784827</v>
      </c>
      <c r="M190" s="189">
        <v>8.6616828929068141</v>
      </c>
      <c r="N190" s="190">
        <f t="shared" si="34"/>
        <v>0.17250378842920178</v>
      </c>
    </row>
    <row r="191" spans="1:15" x14ac:dyDescent="0.25">
      <c r="B191" s="119" t="s">
        <v>86</v>
      </c>
      <c r="C191" s="189" t="s">
        <v>298</v>
      </c>
      <c r="D191" s="190" t="s">
        <v>298</v>
      </c>
      <c r="E191" s="189">
        <v>8.1141917293233075</v>
      </c>
      <c r="F191" s="190" t="str">
        <f t="shared" si="35"/>
        <v>-</v>
      </c>
      <c r="G191" s="189">
        <v>8.4194266629557468</v>
      </c>
      <c r="H191" s="190">
        <f t="shared" si="35"/>
        <v>0.30523493363243936</v>
      </c>
      <c r="I191" s="189">
        <v>8.3436408977556109</v>
      </c>
      <c r="J191" s="190">
        <f t="shared" si="35"/>
        <v>-7.5785765200135913E-2</v>
      </c>
      <c r="K191" s="189">
        <v>7.6555997194295067</v>
      </c>
      <c r="L191" s="190">
        <f t="shared" si="36"/>
        <v>-0.68804117832610423</v>
      </c>
      <c r="M191" s="189">
        <v>7.9297339188840095</v>
      </c>
      <c r="N191" s="190">
        <f t="shared" si="34"/>
        <v>0.27413419945450279</v>
      </c>
    </row>
    <row r="192" spans="1:15" x14ac:dyDescent="0.25">
      <c r="B192" s="119" t="s">
        <v>88</v>
      </c>
      <c r="C192" s="189">
        <v>7.4293369055592766</v>
      </c>
      <c r="D192" s="190">
        <v>-0.75257098917756515</v>
      </c>
      <c r="E192" s="189">
        <v>7.6948376353039132</v>
      </c>
      <c r="F192" s="190">
        <f t="shared" si="35"/>
        <v>0.26550072974463657</v>
      </c>
      <c r="G192" s="189">
        <v>8.0364372469635619</v>
      </c>
      <c r="H192" s="190">
        <f t="shared" si="35"/>
        <v>0.34159961165964869</v>
      </c>
      <c r="I192" s="189">
        <v>8.2916447714135568</v>
      </c>
      <c r="J192" s="190">
        <f t="shared" si="35"/>
        <v>0.25520752444999495</v>
      </c>
      <c r="K192" s="189">
        <v>8.3114473308592629</v>
      </c>
      <c r="L192" s="190">
        <f t="shared" si="36"/>
        <v>1.9802559445706081E-2</v>
      </c>
      <c r="M192" s="189">
        <v>7.2561847168774047</v>
      </c>
      <c r="N192" s="190">
        <f t="shared" si="34"/>
        <v>-1.0552626139818582</v>
      </c>
    </row>
    <row r="193" spans="2:15" x14ac:dyDescent="0.25">
      <c r="B193" s="119" t="s">
        <v>90</v>
      </c>
      <c r="C193" s="189">
        <v>7.8025247971145175</v>
      </c>
      <c r="D193" s="190">
        <v>-1.0622398248540987</v>
      </c>
      <c r="E193" s="189">
        <v>8.5449999999999999</v>
      </c>
      <c r="F193" s="190">
        <f t="shared" si="35"/>
        <v>0.74247520288548241</v>
      </c>
      <c r="G193" s="189">
        <v>8.6323838080959518</v>
      </c>
      <c r="H193" s="190">
        <f t="shared" si="35"/>
        <v>8.738380809595192E-2</v>
      </c>
      <c r="I193" s="189">
        <v>8.9404954227248243</v>
      </c>
      <c r="J193" s="190">
        <f t="shared" si="35"/>
        <v>0.30811161462887249</v>
      </c>
      <c r="K193" s="189">
        <v>8.7204788094467816</v>
      </c>
      <c r="L193" s="190">
        <f t="shared" si="36"/>
        <v>-0.22001661327804278</v>
      </c>
      <c r="M193" s="189">
        <v>8.4611691612538831</v>
      </c>
      <c r="N193" s="190">
        <f t="shared" si="34"/>
        <v>-0.25930964819289848</v>
      </c>
    </row>
    <row r="194" spans="2:15" x14ac:dyDescent="0.25">
      <c r="B194" s="119" t="s">
        <v>92</v>
      </c>
      <c r="C194" s="189">
        <v>9.5790094339622645</v>
      </c>
      <c r="D194" s="190">
        <v>1.0139857636754357</v>
      </c>
      <c r="E194" s="189">
        <v>7.0247342156650037</v>
      </c>
      <c r="F194" s="190">
        <f t="shared" si="35"/>
        <v>-2.5542752182972608</v>
      </c>
      <c r="G194" s="189">
        <v>7.398474487112046</v>
      </c>
      <c r="H194" s="190">
        <f t="shared" si="35"/>
        <v>0.37374027144704236</v>
      </c>
      <c r="I194" s="189">
        <v>8.0896470588235285</v>
      </c>
      <c r="J194" s="190">
        <f t="shared" si="35"/>
        <v>0.6911725717114825</v>
      </c>
      <c r="K194" s="189">
        <v>8.1410483666751077</v>
      </c>
      <c r="L194" s="190">
        <f t="shared" si="36"/>
        <v>5.1401307851579148E-2</v>
      </c>
      <c r="M194" s="189">
        <v>7.9728633020542734</v>
      </c>
      <c r="N194" s="190">
        <f t="shared" si="34"/>
        <v>-0.16818506462083427</v>
      </c>
    </row>
    <row r="195" spans="2:15" x14ac:dyDescent="0.25">
      <c r="B195" s="119" t="s">
        <v>94</v>
      </c>
      <c r="C195" s="189">
        <v>7.1098398169336381</v>
      </c>
      <c r="D195" s="190">
        <v>-0.49885583524027499</v>
      </c>
      <c r="E195" s="189">
        <v>9.0463992266795561</v>
      </c>
      <c r="F195" s="190">
        <f t="shared" si="35"/>
        <v>1.936559409745918</v>
      </c>
      <c r="G195" s="189">
        <v>8.6113074204947004</v>
      </c>
      <c r="H195" s="190">
        <f t="shared" si="35"/>
        <v>-0.43509180618485566</v>
      </c>
      <c r="I195" s="189">
        <v>8.4856290672451191</v>
      </c>
      <c r="J195" s="190">
        <f t="shared" si="35"/>
        <v>-0.12567835324958132</v>
      </c>
      <c r="K195" s="189">
        <v>8.5639518611810797</v>
      </c>
      <c r="L195" s="190">
        <f t="shared" si="36"/>
        <v>7.8322793935960533E-2</v>
      </c>
      <c r="M195" s="189">
        <v>7.2119237267680427</v>
      </c>
      <c r="N195" s="190">
        <f t="shared" si="34"/>
        <v>-1.3520281344130369</v>
      </c>
    </row>
    <row r="196" spans="2:15" x14ac:dyDescent="0.25">
      <c r="B196" s="119" t="s">
        <v>96</v>
      </c>
      <c r="C196" s="189">
        <v>7.5361010830324906</v>
      </c>
      <c r="D196" s="190">
        <v>-2.70362494436477</v>
      </c>
      <c r="E196" s="189">
        <v>8.4801517067003793</v>
      </c>
      <c r="F196" s="190">
        <f t="shared" si="35"/>
        <v>0.94405062366788872</v>
      </c>
      <c r="G196" s="189">
        <v>8.6826692270763317</v>
      </c>
      <c r="H196" s="190">
        <f t="shared" si="35"/>
        <v>0.20251752037595239</v>
      </c>
      <c r="I196" s="189">
        <v>9.0498414136837333</v>
      </c>
      <c r="J196" s="190">
        <f t="shared" si="35"/>
        <v>0.36717218660740158</v>
      </c>
      <c r="K196" s="189">
        <v>9.620396600566572</v>
      </c>
      <c r="L196" s="190">
        <f t="shared" si="36"/>
        <v>0.57055518688283868</v>
      </c>
      <c r="M196" s="189">
        <v>9.4623334239869461</v>
      </c>
      <c r="N196" s="190">
        <f t="shared" si="34"/>
        <v>-0.15806317657962587</v>
      </c>
    </row>
    <row r="197" spans="2:15" ht="15.75" x14ac:dyDescent="0.25">
      <c r="B197" s="122" t="s">
        <v>33</v>
      </c>
      <c r="C197" s="191">
        <v>8.4789494013132476</v>
      </c>
      <c r="D197" s="192">
        <v>-0.10376503002503767</v>
      </c>
      <c r="E197" s="191">
        <v>8.0765115973166139</v>
      </c>
      <c r="F197" s="192">
        <f t="shared" si="35"/>
        <v>-0.40243780399663365</v>
      </c>
      <c r="G197" s="191">
        <v>8.2205484045708985</v>
      </c>
      <c r="H197" s="192">
        <f t="shared" si="35"/>
        <v>0.14403680725428458</v>
      </c>
      <c r="I197" s="191">
        <v>8.485752438720775</v>
      </c>
      <c r="J197" s="192">
        <f t="shared" si="35"/>
        <v>0.26520403414987648</v>
      </c>
      <c r="K197" s="191">
        <v>8.3521609571393363</v>
      </c>
      <c r="L197" s="192">
        <f t="shared" si="36"/>
        <v>-0.13359148158143874</v>
      </c>
      <c r="M197" s="191">
        <v>8.2272936949185453</v>
      </c>
      <c r="N197" s="192">
        <v>-0.12486726222079092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308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v>2020</v>
      </c>
      <c r="D205" s="308"/>
      <c r="E205" s="309">
        <v>2021</v>
      </c>
      <c r="F205" s="308"/>
      <c r="G205" s="309">
        <v>2022</v>
      </c>
      <c r="H205" s="308"/>
      <c r="I205" s="309">
        <v>2023</v>
      </c>
      <c r="J205" s="308"/>
      <c r="K205" s="309">
        <v>2024</v>
      </c>
      <c r="L205" s="308"/>
      <c r="M205" s="309">
        <v>2025</v>
      </c>
      <c r="N205" s="310"/>
    </row>
    <row r="206" spans="2:15" ht="16.5" thickTop="1" thickBot="1" x14ac:dyDescent="0.3">
      <c r="B206" s="87"/>
      <c r="C206" s="116" t="s">
        <v>72</v>
      </c>
      <c r="D206" s="117" t="str">
        <f>CONCATENATE("dif ",RIGHT(C205,2),"/",RIGHT(C205-1,2))</f>
        <v>dif 20/19</v>
      </c>
      <c r="E206" s="118" t="s">
        <v>72</v>
      </c>
      <c r="F206" s="117" t="str">
        <f>CONCATENATE("dif ",RIGHT(E205,2),"/",RIGHT(C205,2))</f>
        <v>dif 21/20</v>
      </c>
      <c r="G206" s="118" t="s">
        <v>72</v>
      </c>
      <c r="H206" s="117" t="str">
        <f>CONCATENATE("dif ",RIGHT(G205,2),"/",RIGHT(E205,2))</f>
        <v>dif 22/21</v>
      </c>
      <c r="I206" s="118" t="s">
        <v>72</v>
      </c>
      <c r="J206" s="117" t="str">
        <f>CONCATENATE("dif ",RIGHT(I205,2),"/",RIGHT(G205,2))</f>
        <v>dif 23/22</v>
      </c>
      <c r="K206" s="118" t="s">
        <v>72</v>
      </c>
      <c r="L206" s="117" t="str">
        <f>CONCATENATE("dif ",RIGHT(K205,2),"/",RIGHT(I205,2))</f>
        <v>dif 24/23</v>
      </c>
      <c r="M206" s="118" t="s">
        <v>72</v>
      </c>
      <c r="N206" s="117" t="str">
        <f>CONCATENATE("dif ",RIGHT(M205,2),"/",RIGHT(K205,2))</f>
        <v>dif 25/24</v>
      </c>
    </row>
    <row r="207" spans="2:15" x14ac:dyDescent="0.25">
      <c r="B207" s="119" t="s">
        <v>74</v>
      </c>
      <c r="C207" s="189">
        <v>8.1642091152815013</v>
      </c>
      <c r="D207" s="190">
        <v>-0.59193790626475895</v>
      </c>
      <c r="E207" s="189">
        <v>5.144385026737968</v>
      </c>
      <c r="F207" s="190">
        <f t="shared" ref="F207:J209" si="37">IFERROR(E207-C207,"-")</f>
        <v>-3.0198240885435332</v>
      </c>
      <c r="G207" s="189">
        <v>7.6506691278264887</v>
      </c>
      <c r="H207" s="190">
        <f t="shared" si="37"/>
        <v>2.5062841010885206</v>
      </c>
      <c r="I207" s="189">
        <v>8.8914016489988228</v>
      </c>
      <c r="J207" s="190">
        <f t="shared" si="37"/>
        <v>1.2407325211723341</v>
      </c>
      <c r="K207" s="189">
        <v>9.5242515664887453</v>
      </c>
      <c r="L207" s="190">
        <f t="shared" ref="L207:L209" si="38">IFERROR(K207-I207,"-")</f>
        <v>0.63284991748992248</v>
      </c>
      <c r="M207" s="189">
        <v>9.2827279853671278</v>
      </c>
      <c r="N207" s="190">
        <f t="shared" ref="N207:N218" si="39">IFERROR(M207-K207,"-")</f>
        <v>-0.24152358112161743</v>
      </c>
    </row>
    <row r="208" spans="2:15" x14ac:dyDescent="0.25">
      <c r="B208" s="119" t="s">
        <v>76</v>
      </c>
      <c r="C208" s="189">
        <v>8.5129340480074571</v>
      </c>
      <c r="D208" s="190">
        <v>0.23758177265518121</v>
      </c>
      <c r="E208" s="189">
        <v>4.6582278481012658</v>
      </c>
      <c r="F208" s="190">
        <f t="shared" si="37"/>
        <v>-3.8547061999061913</v>
      </c>
      <c r="G208" s="189">
        <v>7.2104653855059038</v>
      </c>
      <c r="H208" s="190">
        <f t="shared" si="37"/>
        <v>2.552237537404638</v>
      </c>
      <c r="I208" s="189">
        <v>8.468486462494452</v>
      </c>
      <c r="J208" s="190">
        <f t="shared" si="37"/>
        <v>1.2580210769885483</v>
      </c>
      <c r="K208" s="189">
        <v>8.3471822295351714</v>
      </c>
      <c r="L208" s="190">
        <f t="shared" si="38"/>
        <v>-0.12130423295928061</v>
      </c>
      <c r="M208" s="189">
        <v>8.2874139010644967</v>
      </c>
      <c r="N208" s="190">
        <f t="shared" si="39"/>
        <v>-5.9768328470674703E-2</v>
      </c>
    </row>
    <row r="209" spans="2:15" x14ac:dyDescent="0.25">
      <c r="B209" s="119" t="s">
        <v>78</v>
      </c>
      <c r="C209" s="189">
        <v>8.8708333333333336</v>
      </c>
      <c r="D209" s="190">
        <v>1.0981370875995449</v>
      </c>
      <c r="E209" s="189">
        <v>5.5</v>
      </c>
      <c r="F209" s="190">
        <f t="shared" si="37"/>
        <v>-3.3708333333333336</v>
      </c>
      <c r="G209" s="189">
        <v>8.0534644995722839</v>
      </c>
      <c r="H209" s="190">
        <f t="shared" si="37"/>
        <v>2.5534644995722839</v>
      </c>
      <c r="I209" s="189">
        <v>9.3040983606557379</v>
      </c>
      <c r="J209" s="190">
        <f t="shared" si="37"/>
        <v>1.250633861083454</v>
      </c>
      <c r="K209" s="189">
        <v>8.9576891781936538</v>
      </c>
      <c r="L209" s="190">
        <f t="shared" si="38"/>
        <v>-0.34640918246208408</v>
      </c>
      <c r="M209" s="189">
        <v>8.0678956834532372</v>
      </c>
      <c r="N209" s="190">
        <f t="shared" si="39"/>
        <v>-0.88979349474041669</v>
      </c>
    </row>
    <row r="210" spans="2:15" x14ac:dyDescent="0.25">
      <c r="B210" s="119" t="s">
        <v>80</v>
      </c>
      <c r="C210" s="189" t="s">
        <v>298</v>
      </c>
      <c r="D210" s="190" t="s">
        <v>298</v>
      </c>
      <c r="E210" s="189">
        <v>5.8469387755102042</v>
      </c>
      <c r="F210" s="190" t="str">
        <f>IFERROR(E210-C210,"-")</f>
        <v>-</v>
      </c>
      <c r="G210" s="189">
        <v>6.4822436110189177</v>
      </c>
      <c r="H210" s="190">
        <f>IFERROR(G210-E210,"-")</f>
        <v>0.63530483550871342</v>
      </c>
      <c r="I210" s="189">
        <v>7.1687763713080166</v>
      </c>
      <c r="J210" s="190">
        <f>IFERROR(I210-G210,"-")</f>
        <v>0.68653276028909893</v>
      </c>
      <c r="K210" s="189">
        <v>7.0147563486616331</v>
      </c>
      <c r="L210" s="190">
        <f>IFERROR(K210-I210,"-")</f>
        <v>-0.15402002264638348</v>
      </c>
      <c r="M210" s="189">
        <v>7.6532114183764497</v>
      </c>
      <c r="N210" s="190">
        <f t="shared" si="39"/>
        <v>0.63845506971481658</v>
      </c>
    </row>
    <row r="211" spans="2:15" x14ac:dyDescent="0.25">
      <c r="B211" s="119" t="s">
        <v>82</v>
      </c>
      <c r="C211" s="189" t="s">
        <v>298</v>
      </c>
      <c r="D211" s="190" t="s">
        <v>298</v>
      </c>
      <c r="E211" s="189">
        <v>5.6867167919799497</v>
      </c>
      <c r="F211" s="190" t="str">
        <f t="shared" ref="F211:J219" si="40">IFERROR(E211-C211,"-")</f>
        <v>-</v>
      </c>
      <c r="G211" s="189">
        <v>8.4026390870185441</v>
      </c>
      <c r="H211" s="190">
        <f t="shared" si="40"/>
        <v>2.7159222950385944</v>
      </c>
      <c r="I211" s="189">
        <v>10.775368362524326</v>
      </c>
      <c r="J211" s="190">
        <f t="shared" si="40"/>
        <v>2.3727292755057814</v>
      </c>
      <c r="K211" s="189">
        <v>8.4209884075655896</v>
      </c>
      <c r="L211" s="190">
        <f t="shared" ref="L211:L219" si="41">IFERROR(K211-I211,"-")</f>
        <v>-2.3543799549587359</v>
      </c>
      <c r="M211" s="189">
        <v>9.0248049052396873</v>
      </c>
      <c r="N211" s="190">
        <f t="shared" si="39"/>
        <v>0.60381649767409762</v>
      </c>
    </row>
    <row r="212" spans="2:15" x14ac:dyDescent="0.25">
      <c r="B212" s="119" t="s">
        <v>84</v>
      </c>
      <c r="C212" s="189" t="s">
        <v>298</v>
      </c>
      <c r="D212" s="190" t="s">
        <v>298</v>
      </c>
      <c r="E212" s="189">
        <v>7.6506691278264887</v>
      </c>
      <c r="F212" s="190" t="str">
        <f t="shared" si="40"/>
        <v>-</v>
      </c>
      <c r="G212" s="189">
        <v>8.4086679725759055</v>
      </c>
      <c r="H212" s="190">
        <f t="shared" si="40"/>
        <v>0.75799884474941681</v>
      </c>
      <c r="I212" s="189">
        <v>9.573651191969887</v>
      </c>
      <c r="J212" s="190">
        <f t="shared" si="40"/>
        <v>1.1649832193939815</v>
      </c>
      <c r="K212" s="189">
        <v>8.9339884101788858</v>
      </c>
      <c r="L212" s="190">
        <f t="shared" si="41"/>
        <v>-0.63966278179100122</v>
      </c>
      <c r="M212" s="189">
        <v>8.8895168126589432</v>
      </c>
      <c r="N212" s="190">
        <f t="shared" si="39"/>
        <v>-4.4471597519942563E-2</v>
      </c>
    </row>
    <row r="213" spans="2:15" x14ac:dyDescent="0.25">
      <c r="B213" s="119" t="s">
        <v>86</v>
      </c>
      <c r="C213" s="189" t="s">
        <v>298</v>
      </c>
      <c r="D213" s="190" t="s">
        <v>298</v>
      </c>
      <c r="E213" s="189">
        <v>8.8195139385275194</v>
      </c>
      <c r="F213" s="190" t="str">
        <f t="shared" si="40"/>
        <v>-</v>
      </c>
      <c r="G213" s="189">
        <v>8.5101010101010104</v>
      </c>
      <c r="H213" s="190">
        <f t="shared" si="40"/>
        <v>-0.30941292842650903</v>
      </c>
      <c r="I213" s="189">
        <v>10.033462867012091</v>
      </c>
      <c r="J213" s="190">
        <f t="shared" si="40"/>
        <v>1.5233618569110803</v>
      </c>
      <c r="K213" s="189">
        <v>8.0485402113559026</v>
      </c>
      <c r="L213" s="190">
        <f t="shared" si="41"/>
        <v>-1.9849226556561881</v>
      </c>
      <c r="M213" s="189">
        <v>8.074995525326651</v>
      </c>
      <c r="N213" s="190">
        <f t="shared" si="39"/>
        <v>2.6455313970748406E-2</v>
      </c>
    </row>
    <row r="214" spans="2:15" x14ac:dyDescent="0.25">
      <c r="B214" s="119" t="s">
        <v>88</v>
      </c>
      <c r="C214" s="189">
        <v>9.4789297658862868</v>
      </c>
      <c r="D214" s="190">
        <v>0.53722360474884567</v>
      </c>
      <c r="E214" s="189">
        <v>7.8547526673132877</v>
      </c>
      <c r="F214" s="190">
        <f t="shared" si="40"/>
        <v>-1.6241770985729991</v>
      </c>
      <c r="G214" s="189">
        <v>9.9118942731277535</v>
      </c>
      <c r="H214" s="190">
        <f t="shared" si="40"/>
        <v>2.0571416058144658</v>
      </c>
      <c r="I214" s="189">
        <v>9.6800704902274912</v>
      </c>
      <c r="J214" s="190">
        <f t="shared" si="40"/>
        <v>-0.23182378290026229</v>
      </c>
      <c r="K214" s="189">
        <v>9.3494736842105262</v>
      </c>
      <c r="L214" s="190">
        <f t="shared" si="41"/>
        <v>-0.33059680601696506</v>
      </c>
      <c r="M214" s="189">
        <v>9.5100695715855004</v>
      </c>
      <c r="N214" s="190">
        <f t="shared" si="39"/>
        <v>0.16059588737497421</v>
      </c>
    </row>
    <row r="215" spans="2:15" x14ac:dyDescent="0.25">
      <c r="B215" s="119" t="s">
        <v>90</v>
      </c>
      <c r="C215" s="189">
        <v>3.7468354430379747</v>
      </c>
      <c r="D215" s="190">
        <v>-5.7804749374952884</v>
      </c>
      <c r="E215" s="189">
        <v>8.7681191153930378</v>
      </c>
      <c r="F215" s="190">
        <f t="shared" si="40"/>
        <v>5.0212836723550627</v>
      </c>
      <c r="G215" s="189">
        <v>9.6579052969502399</v>
      </c>
      <c r="H215" s="190">
        <f t="shared" si="40"/>
        <v>0.88978618155720213</v>
      </c>
      <c r="I215" s="189">
        <v>8.8518155053974485</v>
      </c>
      <c r="J215" s="190">
        <f t="shared" si="40"/>
        <v>-0.80608979155279137</v>
      </c>
      <c r="K215" s="189">
        <v>9.4313593539703895</v>
      </c>
      <c r="L215" s="190">
        <f t="shared" si="41"/>
        <v>0.57954384857294095</v>
      </c>
      <c r="M215" s="189">
        <v>9.6952509565608818</v>
      </c>
      <c r="N215" s="190">
        <f t="shared" si="39"/>
        <v>0.26389160259049227</v>
      </c>
    </row>
    <row r="216" spans="2:15" x14ac:dyDescent="0.25">
      <c r="B216" s="119" t="s">
        <v>92</v>
      </c>
      <c r="C216" s="189">
        <v>3.6689419795221845</v>
      </c>
      <c r="D216" s="190">
        <v>-4.3876782295370482</v>
      </c>
      <c r="E216" s="189">
        <v>7.7923940149625937</v>
      </c>
      <c r="F216" s="190">
        <f t="shared" si="40"/>
        <v>4.1234520354404092</v>
      </c>
      <c r="G216" s="189">
        <v>9.0385735080058218</v>
      </c>
      <c r="H216" s="190">
        <f t="shared" si="40"/>
        <v>1.2461794930432282</v>
      </c>
      <c r="I216" s="189">
        <v>9.1355339805825242</v>
      </c>
      <c r="J216" s="190">
        <f t="shared" si="40"/>
        <v>9.6960472576702372E-2</v>
      </c>
      <c r="K216" s="189">
        <v>8.3060606060606066</v>
      </c>
      <c r="L216" s="190">
        <f t="shared" si="41"/>
        <v>-0.82947337452191761</v>
      </c>
      <c r="M216" s="189">
        <v>8.6769450684092302</v>
      </c>
      <c r="N216" s="190">
        <f t="shared" si="39"/>
        <v>0.3708844623486236</v>
      </c>
    </row>
    <row r="217" spans="2:15" x14ac:dyDescent="0.25">
      <c r="B217" s="119" t="s">
        <v>94</v>
      </c>
      <c r="C217" s="189">
        <v>5.4763358778625957</v>
      </c>
      <c r="D217" s="190">
        <v>-2.1073122602917485</v>
      </c>
      <c r="E217" s="189">
        <v>7.3073868149324861</v>
      </c>
      <c r="F217" s="190">
        <f t="shared" si="40"/>
        <v>1.8310509370698904</v>
      </c>
      <c r="G217" s="189">
        <v>8.0379550735863674</v>
      </c>
      <c r="H217" s="190">
        <f t="shared" si="40"/>
        <v>0.73056825865388131</v>
      </c>
      <c r="I217" s="189">
        <v>8.6134094151212555</v>
      </c>
      <c r="J217" s="190">
        <f t="shared" si="40"/>
        <v>0.57545434153488806</v>
      </c>
      <c r="K217" s="189">
        <v>9.2076281287246715</v>
      </c>
      <c r="L217" s="190">
        <f t="shared" si="41"/>
        <v>0.59421871360341605</v>
      </c>
      <c r="M217" s="189">
        <v>8.1643744454303455</v>
      </c>
      <c r="N217" s="190">
        <f t="shared" si="39"/>
        <v>-1.043253683294326</v>
      </c>
    </row>
    <row r="218" spans="2:15" x14ac:dyDescent="0.25">
      <c r="B218" s="119" t="s">
        <v>96</v>
      </c>
      <c r="C218" s="189">
        <v>7.5096322241681257</v>
      </c>
      <c r="D218" s="190">
        <v>-0.9150862885315334</v>
      </c>
      <c r="E218" s="189">
        <v>7.4342248314851052</v>
      </c>
      <c r="F218" s="190">
        <f t="shared" si="40"/>
        <v>-7.5407392683020547E-2</v>
      </c>
      <c r="G218" s="189">
        <v>9.181432360742706</v>
      </c>
      <c r="H218" s="190">
        <f t="shared" si="40"/>
        <v>1.7472075292576008</v>
      </c>
      <c r="I218" s="189">
        <v>8.475026567481402</v>
      </c>
      <c r="J218" s="190">
        <f t="shared" si="40"/>
        <v>-0.70640579326130393</v>
      </c>
      <c r="K218" s="189">
        <v>8.7723595505617986</v>
      </c>
      <c r="L218" s="190">
        <f t="shared" si="41"/>
        <v>0.29733298308039657</v>
      </c>
      <c r="M218" s="189">
        <v>9.0736708860759485</v>
      </c>
      <c r="N218" s="190">
        <f t="shared" si="39"/>
        <v>0.3013113355141499</v>
      </c>
    </row>
    <row r="219" spans="2:15" ht="15.75" x14ac:dyDescent="0.25">
      <c r="B219" s="122" t="s">
        <v>33</v>
      </c>
      <c r="C219" s="191">
        <v>8.0653471771576903</v>
      </c>
      <c r="D219" s="192">
        <v>-0.3123852407306007</v>
      </c>
      <c r="E219" s="191">
        <v>7.8209407699579492</v>
      </c>
      <c r="F219" s="192">
        <f t="shared" si="40"/>
        <v>-0.24440640719974116</v>
      </c>
      <c r="G219" s="191">
        <v>8.3670963781461012</v>
      </c>
      <c r="H219" s="192">
        <f t="shared" si="40"/>
        <v>0.54615560818815201</v>
      </c>
      <c r="I219" s="191">
        <v>9.0329163211594619</v>
      </c>
      <c r="J219" s="192">
        <f t="shared" si="40"/>
        <v>0.66581994301336067</v>
      </c>
      <c r="K219" s="191">
        <v>8.6301944799474946</v>
      </c>
      <c r="L219" s="192">
        <f t="shared" si="41"/>
        <v>-0.4027218412119673</v>
      </c>
      <c r="M219" s="191">
        <v>8.679209326657201</v>
      </c>
      <c r="N219" s="192">
        <v>4.9014846709706461E-2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307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v>2020</v>
      </c>
      <c r="D227" s="308"/>
      <c r="E227" s="309">
        <v>2021</v>
      </c>
      <c r="F227" s="308"/>
      <c r="G227" s="309">
        <v>2022</v>
      </c>
      <c r="H227" s="308"/>
      <c r="I227" s="309">
        <v>2023</v>
      </c>
      <c r="J227" s="308"/>
      <c r="K227" s="309">
        <v>2024</v>
      </c>
      <c r="L227" s="308"/>
      <c r="M227" s="309">
        <v>2025</v>
      </c>
      <c r="N227" s="310"/>
    </row>
    <row r="228" spans="2:15" ht="16.5" thickTop="1" thickBot="1" x14ac:dyDescent="0.3">
      <c r="B228" s="87"/>
      <c r="C228" s="116" t="s">
        <v>72</v>
      </c>
      <c r="D228" s="117" t="str">
        <f>CONCATENATE("dif ",RIGHT(C227,2),"/",RIGHT(C227-1,2))</f>
        <v>dif 20/19</v>
      </c>
      <c r="E228" s="118" t="s">
        <v>72</v>
      </c>
      <c r="F228" s="117" t="str">
        <f>CONCATENATE("dif ",RIGHT(E227,2),"/",RIGHT(C227,2))</f>
        <v>dif 21/20</v>
      </c>
      <c r="G228" s="118" t="s">
        <v>72</v>
      </c>
      <c r="H228" s="117" t="str">
        <f>CONCATENATE("dif ",RIGHT(G227,2),"/",RIGHT(E227,2))</f>
        <v>dif 22/21</v>
      </c>
      <c r="I228" s="118" t="s">
        <v>72</v>
      </c>
      <c r="J228" s="117" t="str">
        <f>CONCATENATE("dif ",RIGHT(I227,2),"/",RIGHT(G227,2))</f>
        <v>dif 23/22</v>
      </c>
      <c r="K228" s="118" t="s">
        <v>72</v>
      </c>
      <c r="L228" s="117" t="str">
        <f>CONCATENATE("dif ",RIGHT(K227,2),"/",RIGHT(I227,2))</f>
        <v>dif 24/23</v>
      </c>
      <c r="M228" s="118" t="s">
        <v>72</v>
      </c>
      <c r="N228" s="117" t="str">
        <f>CONCATENATE("dif ",RIGHT(M227,2),"/",RIGHT(K227,2))</f>
        <v>dif 25/24</v>
      </c>
    </row>
    <row r="229" spans="2:15" x14ac:dyDescent="0.25">
      <c r="B229" s="119" t="s">
        <v>74</v>
      </c>
      <c r="C229" s="189">
        <v>8.7057728119180631</v>
      </c>
      <c r="D229" s="190">
        <v>0.31876789346090462</v>
      </c>
      <c r="E229" s="189">
        <v>8.28169014084507</v>
      </c>
      <c r="F229" s="190">
        <f t="shared" ref="F229:J231" si="42">IFERROR(E229-C229,"-")</f>
        <v>-0.42408267107299302</v>
      </c>
      <c r="G229" s="189">
        <v>8.8435324294613409</v>
      </c>
      <c r="H229" s="190">
        <f t="shared" si="42"/>
        <v>0.56184228861627084</v>
      </c>
      <c r="I229" s="189">
        <v>8.3992114342040409</v>
      </c>
      <c r="J229" s="190">
        <f t="shared" si="42"/>
        <v>-0.44432099525729996</v>
      </c>
      <c r="K229" s="189">
        <v>8.608603667136812</v>
      </c>
      <c r="L229" s="190">
        <f t="shared" ref="L229:L231" si="43">IFERROR(K229-I229,"-")</f>
        <v>0.20939223293277109</v>
      </c>
      <c r="M229" s="189">
        <v>9.9277667329357193</v>
      </c>
      <c r="N229" s="190">
        <f t="shared" ref="N229:N240" si="44">IFERROR(M229-K229,"-")</f>
        <v>1.3191630657989073</v>
      </c>
    </row>
    <row r="230" spans="2:15" x14ac:dyDescent="0.25">
      <c r="B230" s="119" t="s">
        <v>76</v>
      </c>
      <c r="C230" s="189">
        <v>8.6076173604960147</v>
      </c>
      <c r="D230" s="190">
        <v>-0.35278580725056585</v>
      </c>
      <c r="E230" s="189">
        <v>11.728813559322035</v>
      </c>
      <c r="F230" s="190">
        <f t="shared" si="42"/>
        <v>3.12119619882602</v>
      </c>
      <c r="G230" s="189">
        <v>7.5259042033235586</v>
      </c>
      <c r="H230" s="190">
        <f t="shared" si="42"/>
        <v>-4.202909355998476</v>
      </c>
      <c r="I230" s="189">
        <v>8.727555141348244</v>
      </c>
      <c r="J230" s="190">
        <f t="shared" si="42"/>
        <v>1.2016509380246854</v>
      </c>
      <c r="K230" s="189">
        <v>8.2370138345079607</v>
      </c>
      <c r="L230" s="190">
        <f t="shared" si="43"/>
        <v>-0.4905413068402833</v>
      </c>
      <c r="M230" s="189">
        <v>8.4852703140174821</v>
      </c>
      <c r="N230" s="190">
        <f t="shared" si="44"/>
        <v>0.24825647950952145</v>
      </c>
    </row>
    <row r="231" spans="2:15" x14ac:dyDescent="0.25">
      <c r="B231" s="119" t="s">
        <v>78</v>
      </c>
      <c r="C231" s="189">
        <v>10.733630952380953</v>
      </c>
      <c r="D231" s="190">
        <v>2.9163866097857074</v>
      </c>
      <c r="E231" s="189">
        <v>9.907692307692308</v>
      </c>
      <c r="F231" s="190">
        <f t="shared" si="42"/>
        <v>-0.82593864468864453</v>
      </c>
      <c r="G231" s="189">
        <v>8.6417662682602927</v>
      </c>
      <c r="H231" s="190">
        <f t="shared" si="42"/>
        <v>-1.2659260394320153</v>
      </c>
      <c r="I231" s="189">
        <v>8.664422395464209</v>
      </c>
      <c r="J231" s="190">
        <f t="shared" si="42"/>
        <v>2.2656127203916299E-2</v>
      </c>
      <c r="K231" s="189">
        <v>7.8031830238726787</v>
      </c>
      <c r="L231" s="190">
        <f t="shared" si="43"/>
        <v>-0.8612393715915303</v>
      </c>
      <c r="M231" s="189">
        <v>8.5837063563115485</v>
      </c>
      <c r="N231" s="190">
        <f t="shared" si="44"/>
        <v>0.78052333243886984</v>
      </c>
    </row>
    <row r="232" spans="2:15" x14ac:dyDescent="0.25">
      <c r="B232" s="119" t="s">
        <v>80</v>
      </c>
      <c r="C232" s="189" t="s">
        <v>298</v>
      </c>
      <c r="D232" s="190" t="s">
        <v>298</v>
      </c>
      <c r="E232" s="189">
        <v>5.2430939226519335</v>
      </c>
      <c r="F232" s="190" t="str">
        <f>IFERROR(E232-C232,"-")</f>
        <v>-</v>
      </c>
      <c r="G232" s="189">
        <v>7.0787526427061307</v>
      </c>
      <c r="H232" s="190">
        <f>IFERROR(G232-E232,"-")</f>
        <v>1.8356587200541972</v>
      </c>
      <c r="I232" s="189">
        <v>7.7432362122788758</v>
      </c>
      <c r="J232" s="190">
        <f>IFERROR(I232-G232,"-")</f>
        <v>0.66448356957274513</v>
      </c>
      <c r="K232" s="189">
        <v>8.3330936975796792</v>
      </c>
      <c r="L232" s="190">
        <f>IFERROR(K232-I232,"-")</f>
        <v>0.5898574853008034</v>
      </c>
      <c r="M232" s="189">
        <v>7.3403496254013554</v>
      </c>
      <c r="N232" s="190">
        <f t="shared" si="44"/>
        <v>-0.99274407217832383</v>
      </c>
    </row>
    <row r="233" spans="2:15" x14ac:dyDescent="0.25">
      <c r="B233" s="119" t="s">
        <v>82</v>
      </c>
      <c r="C233" s="189" t="s">
        <v>298</v>
      </c>
      <c r="D233" s="190" t="s">
        <v>298</v>
      </c>
      <c r="E233" s="189">
        <v>6.009615384615385</v>
      </c>
      <c r="F233" s="190" t="str">
        <f t="shared" ref="F233:J241" si="45">IFERROR(E233-C233,"-")</f>
        <v>-</v>
      </c>
      <c r="G233" s="189">
        <v>8.3211458725970591</v>
      </c>
      <c r="H233" s="190">
        <f t="shared" si="45"/>
        <v>2.311530487981674</v>
      </c>
      <c r="I233" s="189">
        <v>8.3223995271867608</v>
      </c>
      <c r="J233" s="190">
        <f t="shared" si="45"/>
        <v>1.2536545897017248E-3</v>
      </c>
      <c r="K233" s="189">
        <v>7.6908373786407767</v>
      </c>
      <c r="L233" s="190">
        <f t="shared" ref="L233:L241" si="46">IFERROR(K233-I233,"-")</f>
        <v>-0.63156214854598414</v>
      </c>
      <c r="M233" s="189">
        <v>7.8070392096326025</v>
      </c>
      <c r="N233" s="190">
        <f t="shared" si="44"/>
        <v>0.11620183099182579</v>
      </c>
    </row>
    <row r="234" spans="2:15" x14ac:dyDescent="0.25">
      <c r="B234" s="119" t="s">
        <v>84</v>
      </c>
      <c r="C234" s="189" t="s">
        <v>298</v>
      </c>
      <c r="D234" s="190" t="s">
        <v>298</v>
      </c>
      <c r="E234" s="189">
        <v>7.8949447077409163</v>
      </c>
      <c r="F234" s="190" t="str">
        <f t="shared" si="45"/>
        <v>-</v>
      </c>
      <c r="G234" s="189">
        <v>8.8187972919155708</v>
      </c>
      <c r="H234" s="190">
        <f t="shared" si="45"/>
        <v>0.92385258417465455</v>
      </c>
      <c r="I234" s="189">
        <v>8.9193006052454606</v>
      </c>
      <c r="J234" s="190">
        <f t="shared" si="45"/>
        <v>0.10050331332988982</v>
      </c>
      <c r="K234" s="189">
        <v>8.4891791044776124</v>
      </c>
      <c r="L234" s="190">
        <f t="shared" si="46"/>
        <v>-0.43012150076784827</v>
      </c>
      <c r="M234" s="189">
        <v>8.6616828929068141</v>
      </c>
      <c r="N234" s="190">
        <f t="shared" si="44"/>
        <v>0.17250378842920178</v>
      </c>
    </row>
    <row r="235" spans="2:15" x14ac:dyDescent="0.25">
      <c r="B235" s="119" t="s">
        <v>86</v>
      </c>
      <c r="C235" s="189" t="s">
        <v>298</v>
      </c>
      <c r="D235" s="190" t="s">
        <v>298</v>
      </c>
      <c r="E235" s="189">
        <v>8.1141917293233075</v>
      </c>
      <c r="F235" s="190" t="str">
        <f t="shared" si="45"/>
        <v>-</v>
      </c>
      <c r="G235" s="189">
        <v>8.4194266629557468</v>
      </c>
      <c r="H235" s="190">
        <f t="shared" si="45"/>
        <v>0.30523493363243936</v>
      </c>
      <c r="I235" s="189">
        <v>8.3436408977556109</v>
      </c>
      <c r="J235" s="190">
        <f t="shared" si="45"/>
        <v>-7.5785765200135913E-2</v>
      </c>
      <c r="K235" s="189">
        <v>7.6555997194295067</v>
      </c>
      <c r="L235" s="190">
        <f t="shared" si="46"/>
        <v>-0.68804117832610423</v>
      </c>
      <c r="M235" s="189">
        <v>7.9297339188840095</v>
      </c>
      <c r="N235" s="190">
        <f t="shared" si="44"/>
        <v>0.27413419945450279</v>
      </c>
    </row>
    <row r="236" spans="2:15" x14ac:dyDescent="0.25">
      <c r="B236" s="119" t="s">
        <v>88</v>
      </c>
      <c r="C236" s="189">
        <v>7.4293369055592766</v>
      </c>
      <c r="D236" s="190">
        <v>-0.75257098917756515</v>
      </c>
      <c r="E236" s="189">
        <v>7.6948376353039132</v>
      </c>
      <c r="F236" s="190">
        <f t="shared" si="45"/>
        <v>0.26550072974463657</v>
      </c>
      <c r="G236" s="189">
        <v>8.0364372469635619</v>
      </c>
      <c r="H236" s="190">
        <f t="shared" si="45"/>
        <v>0.34159961165964869</v>
      </c>
      <c r="I236" s="189">
        <v>8.2916447714135568</v>
      </c>
      <c r="J236" s="190">
        <f t="shared" si="45"/>
        <v>0.25520752444999495</v>
      </c>
      <c r="K236" s="189">
        <v>8.3114473308592629</v>
      </c>
      <c r="L236" s="190">
        <f t="shared" si="46"/>
        <v>1.9802559445706081E-2</v>
      </c>
      <c r="M236" s="189">
        <v>7.2561847168774047</v>
      </c>
      <c r="N236" s="190">
        <f t="shared" si="44"/>
        <v>-1.0552626139818582</v>
      </c>
    </row>
    <row r="237" spans="2:15" x14ac:dyDescent="0.25">
      <c r="B237" s="119" t="s">
        <v>90</v>
      </c>
      <c r="C237" s="189">
        <v>7.8025247971145175</v>
      </c>
      <c r="D237" s="190">
        <v>-1.0622398248540987</v>
      </c>
      <c r="E237" s="189">
        <v>8.5449999999999999</v>
      </c>
      <c r="F237" s="190">
        <f t="shared" si="45"/>
        <v>0.74247520288548241</v>
      </c>
      <c r="G237" s="189">
        <v>8.6323838080959518</v>
      </c>
      <c r="H237" s="190">
        <f t="shared" si="45"/>
        <v>8.738380809595192E-2</v>
      </c>
      <c r="I237" s="189">
        <v>8.9404954227248243</v>
      </c>
      <c r="J237" s="190">
        <f t="shared" si="45"/>
        <v>0.30811161462887249</v>
      </c>
      <c r="K237" s="189">
        <v>8.7204788094467816</v>
      </c>
      <c r="L237" s="190">
        <f t="shared" si="46"/>
        <v>-0.22001661327804278</v>
      </c>
      <c r="M237" s="189">
        <v>8.4611691612538831</v>
      </c>
      <c r="N237" s="190">
        <f t="shared" si="44"/>
        <v>-0.25930964819289848</v>
      </c>
    </row>
    <row r="238" spans="2:15" x14ac:dyDescent="0.25">
      <c r="B238" s="119" t="s">
        <v>92</v>
      </c>
      <c r="C238" s="189">
        <v>9.5790094339622645</v>
      </c>
      <c r="D238" s="190">
        <v>1.0139857636754357</v>
      </c>
      <c r="E238" s="189">
        <v>7.0247342156650037</v>
      </c>
      <c r="F238" s="190">
        <f t="shared" si="45"/>
        <v>-2.5542752182972608</v>
      </c>
      <c r="G238" s="189">
        <v>7.398474487112046</v>
      </c>
      <c r="H238" s="190">
        <f t="shared" si="45"/>
        <v>0.37374027144704236</v>
      </c>
      <c r="I238" s="189">
        <v>8.0896470588235285</v>
      </c>
      <c r="J238" s="190">
        <f t="shared" si="45"/>
        <v>0.6911725717114825</v>
      </c>
      <c r="K238" s="189">
        <v>8.1410483666751077</v>
      </c>
      <c r="L238" s="190">
        <f t="shared" si="46"/>
        <v>5.1401307851579148E-2</v>
      </c>
      <c r="M238" s="189">
        <v>7.9728633020542734</v>
      </c>
      <c r="N238" s="190">
        <f t="shared" si="44"/>
        <v>-0.16818506462083427</v>
      </c>
    </row>
    <row r="239" spans="2:15" x14ac:dyDescent="0.25">
      <c r="B239" s="119" t="s">
        <v>94</v>
      </c>
      <c r="C239" s="189">
        <v>7.1098398169336381</v>
      </c>
      <c r="D239" s="190">
        <v>-0.49885583524027499</v>
      </c>
      <c r="E239" s="189">
        <v>9.0463992266795561</v>
      </c>
      <c r="F239" s="190">
        <f t="shared" si="45"/>
        <v>1.936559409745918</v>
      </c>
      <c r="G239" s="189">
        <v>8.6113074204947004</v>
      </c>
      <c r="H239" s="190">
        <f t="shared" si="45"/>
        <v>-0.43509180618485566</v>
      </c>
      <c r="I239" s="189">
        <v>8.4856290672451191</v>
      </c>
      <c r="J239" s="190">
        <f t="shared" si="45"/>
        <v>-0.12567835324958132</v>
      </c>
      <c r="K239" s="189">
        <v>8.5639518611810797</v>
      </c>
      <c r="L239" s="190">
        <f t="shared" si="46"/>
        <v>7.8322793935960533E-2</v>
      </c>
      <c r="M239" s="189">
        <v>7.2119237267680427</v>
      </c>
      <c r="N239" s="190">
        <f t="shared" si="44"/>
        <v>-1.3520281344130369</v>
      </c>
    </row>
    <row r="240" spans="2:15" x14ac:dyDescent="0.25">
      <c r="B240" s="119" t="s">
        <v>96</v>
      </c>
      <c r="C240" s="189">
        <v>7.5361010830324906</v>
      </c>
      <c r="D240" s="190">
        <v>-2.70362494436477</v>
      </c>
      <c r="E240" s="189">
        <v>8.4801517067003793</v>
      </c>
      <c r="F240" s="190">
        <f t="shared" si="45"/>
        <v>0.94405062366788872</v>
      </c>
      <c r="G240" s="189">
        <v>8.6826692270763317</v>
      </c>
      <c r="H240" s="190">
        <f t="shared" si="45"/>
        <v>0.20251752037595239</v>
      </c>
      <c r="I240" s="189">
        <v>9.0498414136837333</v>
      </c>
      <c r="J240" s="190">
        <f t="shared" si="45"/>
        <v>0.36717218660740158</v>
      </c>
      <c r="K240" s="189">
        <v>9.620396600566572</v>
      </c>
      <c r="L240" s="190">
        <f t="shared" si="46"/>
        <v>0.57055518688283868</v>
      </c>
      <c r="M240" s="189">
        <v>9.4623334239869461</v>
      </c>
      <c r="N240" s="190">
        <f t="shared" si="44"/>
        <v>-0.15806317657962587</v>
      </c>
    </row>
    <row r="241" spans="2:15" ht="15.75" x14ac:dyDescent="0.25">
      <c r="B241" s="122" t="s">
        <v>33</v>
      </c>
      <c r="C241" s="191">
        <v>8.4789494013132476</v>
      </c>
      <c r="D241" s="192">
        <v>-0.10376503002503767</v>
      </c>
      <c r="E241" s="191">
        <v>8.0765115973166139</v>
      </c>
      <c r="F241" s="192">
        <f t="shared" si="45"/>
        <v>-0.40243780399663365</v>
      </c>
      <c r="G241" s="191">
        <v>8.2205484045708985</v>
      </c>
      <c r="H241" s="192">
        <f t="shared" si="45"/>
        <v>0.14403680725428458</v>
      </c>
      <c r="I241" s="191">
        <v>8.485752438720775</v>
      </c>
      <c r="J241" s="192">
        <f t="shared" si="45"/>
        <v>0.26520403414987648</v>
      </c>
      <c r="K241" s="191">
        <v>8.3521609571393363</v>
      </c>
      <c r="L241" s="192">
        <f t="shared" si="46"/>
        <v>-0.13359148158143874</v>
      </c>
      <c r="M241" s="191">
        <v>8.2272936949185453</v>
      </c>
      <c r="N241" s="192">
        <v>-0.12486726222079092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309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v>2020</v>
      </c>
      <c r="D249" s="308"/>
      <c r="E249" s="309">
        <v>2021</v>
      </c>
      <c r="F249" s="308"/>
      <c r="G249" s="309">
        <v>2022</v>
      </c>
      <c r="H249" s="308"/>
      <c r="I249" s="309">
        <v>2023</v>
      </c>
      <c r="J249" s="308"/>
      <c r="K249" s="309">
        <v>2024</v>
      </c>
      <c r="L249" s="308"/>
      <c r="M249" s="309">
        <v>2025</v>
      </c>
      <c r="N249" s="310"/>
    </row>
    <row r="250" spans="2:15" ht="16.5" thickTop="1" thickBot="1" x14ac:dyDescent="0.3">
      <c r="B250" s="87"/>
      <c r="C250" s="116" t="s">
        <v>72</v>
      </c>
      <c r="D250" s="117" t="str">
        <f>CONCATENATE("dif ",RIGHT(C249,2),"/",RIGHT(C249-1,2))</f>
        <v>dif 20/19</v>
      </c>
      <c r="E250" s="118" t="s">
        <v>72</v>
      </c>
      <c r="F250" s="117" t="str">
        <f>CONCATENATE("dif ",RIGHT(E249,2),"/",RIGHT(C249,2))</f>
        <v>dif 21/20</v>
      </c>
      <c r="G250" s="118" t="s">
        <v>72</v>
      </c>
      <c r="H250" s="117" t="str">
        <f>CONCATENATE("dif ",RIGHT(G249,2),"/",RIGHT(E249,2))</f>
        <v>dif 22/21</v>
      </c>
      <c r="I250" s="118" t="s">
        <v>72</v>
      </c>
      <c r="J250" s="117" t="str">
        <f>CONCATENATE("dif ",RIGHT(I249,2),"/",RIGHT(G249,2))</f>
        <v>dif 23/22</v>
      </c>
      <c r="K250" s="118" t="s">
        <v>72</v>
      </c>
      <c r="L250" s="117" t="str">
        <f>CONCATENATE("dif ",RIGHT(K249,2),"/",RIGHT(I249,2))</f>
        <v>dif 24/23</v>
      </c>
      <c r="M250" s="118" t="s">
        <v>72</v>
      </c>
      <c r="N250" s="117" t="str">
        <f>CONCATENATE("dif ",RIGHT(M249,2),"/",RIGHT(K249,2))</f>
        <v>dif 25/24</v>
      </c>
    </row>
    <row r="251" spans="2:15" x14ac:dyDescent="0.25">
      <c r="B251" s="119" t="s">
        <v>74</v>
      </c>
      <c r="C251" s="189">
        <v>8.9706999457406411</v>
      </c>
      <c r="D251" s="190">
        <v>-0.13674422299384936</v>
      </c>
      <c r="E251" s="189">
        <v>4.1066666666666665</v>
      </c>
      <c r="F251" s="190">
        <f t="shared" ref="F251:J253" si="47">IFERROR(E251-C251,"-")</f>
        <v>-4.8640332790739746</v>
      </c>
      <c r="G251" s="189">
        <v>8.4483920367534449</v>
      </c>
      <c r="H251" s="190">
        <f t="shared" si="47"/>
        <v>4.3417253700867784</v>
      </c>
      <c r="I251" s="189">
        <v>7.381966351209253</v>
      </c>
      <c r="J251" s="190">
        <f t="shared" si="47"/>
        <v>-1.0664256855441918</v>
      </c>
      <c r="K251" s="189">
        <v>8.3423835381537579</v>
      </c>
      <c r="L251" s="190">
        <f t="shared" ref="L251:L253" si="48">IFERROR(K251-I251,"-")</f>
        <v>0.96041718694450484</v>
      </c>
      <c r="M251" s="189">
        <v>10.138941398865784</v>
      </c>
      <c r="N251" s="190">
        <f t="shared" ref="N251:N262" si="49">IFERROR(M251-K251,"-")</f>
        <v>1.7965578607120261</v>
      </c>
    </row>
    <row r="252" spans="2:15" x14ac:dyDescent="0.25">
      <c r="B252" s="119" t="s">
        <v>76</v>
      </c>
      <c r="C252" s="189">
        <v>8.0938388625592417</v>
      </c>
      <c r="D252" s="190">
        <v>-0.23047916028990656</v>
      </c>
      <c r="E252" s="189">
        <v>6.67741935483871</v>
      </c>
      <c r="F252" s="190">
        <f t="shared" si="47"/>
        <v>-1.4164195077205317</v>
      </c>
      <c r="G252" s="189">
        <v>8.2276861853325745</v>
      </c>
      <c r="H252" s="190">
        <f t="shared" si="47"/>
        <v>1.5502668304938645</v>
      </c>
      <c r="I252" s="189">
        <v>8.1284599006387506</v>
      </c>
      <c r="J252" s="190">
        <f t="shared" si="47"/>
        <v>-9.9226284693823885E-2</v>
      </c>
      <c r="K252" s="189">
        <v>8.6390164820318827</v>
      </c>
      <c r="L252" s="190">
        <f t="shared" si="48"/>
        <v>0.51055658139313209</v>
      </c>
      <c r="M252" s="189">
        <v>8.4842164599774517</v>
      </c>
      <c r="N252" s="190">
        <f t="shared" si="49"/>
        <v>-0.154800022054431</v>
      </c>
    </row>
    <row r="253" spans="2:15" x14ac:dyDescent="0.25">
      <c r="B253" s="119" t="s">
        <v>78</v>
      </c>
      <c r="C253" s="189">
        <v>11.017251635930993</v>
      </c>
      <c r="D253" s="190">
        <v>3.5034364483738107</v>
      </c>
      <c r="E253" s="189">
        <v>6.0204081632653059</v>
      </c>
      <c r="F253" s="190">
        <f t="shared" si="47"/>
        <v>-4.9968434726656872</v>
      </c>
      <c r="G253" s="189">
        <v>8.4184331797235021</v>
      </c>
      <c r="H253" s="190">
        <f t="shared" si="47"/>
        <v>2.3980250164581962</v>
      </c>
      <c r="I253" s="189">
        <v>9.2266817410966642</v>
      </c>
      <c r="J253" s="190">
        <f t="shared" si="47"/>
        <v>0.80824856137316203</v>
      </c>
      <c r="K253" s="189">
        <v>8.3439211391018624</v>
      </c>
      <c r="L253" s="190">
        <f t="shared" si="48"/>
        <v>-0.88276060199480177</v>
      </c>
      <c r="M253" s="189">
        <v>8.2804525124967121</v>
      </c>
      <c r="N253" s="190">
        <f t="shared" si="49"/>
        <v>-6.3468626605150291E-2</v>
      </c>
    </row>
    <row r="254" spans="2:15" x14ac:dyDescent="0.25">
      <c r="B254" s="119" t="s">
        <v>80</v>
      </c>
      <c r="C254" s="189" t="s">
        <v>298</v>
      </c>
      <c r="D254" s="190" t="s">
        <v>298</v>
      </c>
      <c r="E254" s="189">
        <v>15.285714285714286</v>
      </c>
      <c r="F254" s="190" t="str">
        <f>IFERROR(E254-C254,"-")</f>
        <v>-</v>
      </c>
      <c r="G254" s="189">
        <v>9.1967109424414932</v>
      </c>
      <c r="H254" s="190">
        <f>IFERROR(G254-E254,"-")</f>
        <v>-6.0890033432727932</v>
      </c>
      <c r="I254" s="189">
        <v>8.1741071428571423</v>
      </c>
      <c r="J254" s="190">
        <f>IFERROR(I254-G254,"-")</f>
        <v>-1.0226037995843509</v>
      </c>
      <c r="K254" s="189">
        <v>10.570491803278689</v>
      </c>
      <c r="L254" s="190">
        <f>IFERROR(K254-I254,"-")</f>
        <v>2.3963846604215462</v>
      </c>
      <c r="M254" s="189">
        <v>9.0453244274809155</v>
      </c>
      <c r="N254" s="190">
        <f t="shared" si="49"/>
        <v>-1.5251673757977731</v>
      </c>
    </row>
    <row r="255" spans="2:15" x14ac:dyDescent="0.25">
      <c r="B255" s="119" t="s">
        <v>82</v>
      </c>
      <c r="C255" s="189" t="s">
        <v>298</v>
      </c>
      <c r="D255" s="190" t="s">
        <v>298</v>
      </c>
      <c r="E255" s="189">
        <v>4.7142857142857144</v>
      </c>
      <c r="F255" s="190" t="str">
        <f t="shared" ref="F255:J263" si="50">IFERROR(E255-C255,"-")</f>
        <v>-</v>
      </c>
      <c r="G255" s="189">
        <v>9.1746478873239443</v>
      </c>
      <c r="H255" s="190">
        <f t="shared" si="50"/>
        <v>4.4603621730382299</v>
      </c>
      <c r="I255" s="189">
        <v>9.6876876876876885</v>
      </c>
      <c r="J255" s="190">
        <f t="shared" si="50"/>
        <v>0.51303980036374419</v>
      </c>
      <c r="K255" s="189">
        <v>8.620754716981132</v>
      </c>
      <c r="L255" s="190">
        <f t="shared" ref="L255:L263" si="51">IFERROR(K255-I255,"-")</f>
        <v>-1.0669329707065565</v>
      </c>
      <c r="M255" s="189">
        <v>9.6891566265060245</v>
      </c>
      <c r="N255" s="190">
        <f t="shared" si="49"/>
        <v>1.0684019095248924</v>
      </c>
    </row>
    <row r="256" spans="2:15" x14ac:dyDescent="0.25">
      <c r="B256" s="119" t="s">
        <v>84</v>
      </c>
      <c r="C256" s="189" t="s">
        <v>298</v>
      </c>
      <c r="D256" s="190" t="s">
        <v>298</v>
      </c>
      <c r="E256" s="189">
        <v>2.1319796954314723</v>
      </c>
      <c r="F256" s="190" t="str">
        <f t="shared" si="50"/>
        <v>-</v>
      </c>
      <c r="G256" s="189">
        <v>7.0531249999999996</v>
      </c>
      <c r="H256" s="190">
        <f t="shared" si="50"/>
        <v>4.9211453045685278</v>
      </c>
      <c r="I256" s="189">
        <v>8.2967863894139882</v>
      </c>
      <c r="J256" s="190">
        <f t="shared" si="50"/>
        <v>1.2436613894139885</v>
      </c>
      <c r="K256" s="189">
        <v>10.466307277628033</v>
      </c>
      <c r="L256" s="190">
        <f t="shared" si="51"/>
        <v>2.1695208882140449</v>
      </c>
      <c r="M256" s="189">
        <v>8.6520547945205486</v>
      </c>
      <c r="N256" s="190">
        <f t="shared" si="49"/>
        <v>-1.8142524831074844</v>
      </c>
    </row>
    <row r="257" spans="2:15" x14ac:dyDescent="0.25">
      <c r="B257" s="119" t="s">
        <v>86</v>
      </c>
      <c r="C257" s="189" t="s">
        <v>298</v>
      </c>
      <c r="D257" s="190" t="s">
        <v>298</v>
      </c>
      <c r="E257" s="189">
        <v>7.4173602853745537</v>
      </c>
      <c r="F257" s="190" t="str">
        <f t="shared" si="50"/>
        <v>-</v>
      </c>
      <c r="G257" s="189">
        <v>8.795209580838323</v>
      </c>
      <c r="H257" s="190">
        <f t="shared" si="50"/>
        <v>1.3778492954637693</v>
      </c>
      <c r="I257" s="189">
        <v>7.9551020408163264</v>
      </c>
      <c r="J257" s="190">
        <f t="shared" si="50"/>
        <v>-0.84010754002199661</v>
      </c>
      <c r="K257" s="189">
        <v>7.2018779342723001</v>
      </c>
      <c r="L257" s="190">
        <f t="shared" si="51"/>
        <v>-0.75322410654402638</v>
      </c>
      <c r="M257" s="189">
        <v>7.5850556438791736</v>
      </c>
      <c r="N257" s="190">
        <f t="shared" si="49"/>
        <v>0.38317770960687358</v>
      </c>
    </row>
    <row r="258" spans="2:15" x14ac:dyDescent="0.25">
      <c r="B258" s="119" t="s">
        <v>88</v>
      </c>
      <c r="C258" s="189">
        <v>10.888888888888889</v>
      </c>
      <c r="D258" s="190">
        <v>1.2678843226788441</v>
      </c>
      <c r="E258" s="189">
        <v>9.3671328671328666</v>
      </c>
      <c r="F258" s="190">
        <f t="shared" si="50"/>
        <v>-1.5217560217560226</v>
      </c>
      <c r="G258" s="189">
        <v>8.6090425531914896</v>
      </c>
      <c r="H258" s="190">
        <f t="shared" si="50"/>
        <v>-0.75809031394137705</v>
      </c>
      <c r="I258" s="189">
        <v>7.965608465608466</v>
      </c>
      <c r="J258" s="190">
        <f t="shared" si="50"/>
        <v>-0.64343408758302356</v>
      </c>
      <c r="K258" s="189">
        <v>10.337874659400544</v>
      </c>
      <c r="L258" s="190">
        <f t="shared" si="51"/>
        <v>2.3722661937920781</v>
      </c>
      <c r="M258" s="189">
        <v>8.4961240310077528</v>
      </c>
      <c r="N258" s="190">
        <f t="shared" si="49"/>
        <v>-1.8417506283927914</v>
      </c>
    </row>
    <row r="259" spans="2:15" x14ac:dyDescent="0.25">
      <c r="B259" s="119" t="s">
        <v>90</v>
      </c>
      <c r="C259" s="189">
        <v>2.75</v>
      </c>
      <c r="D259" s="190">
        <v>-6.3518363939899825</v>
      </c>
      <c r="E259" s="189">
        <v>8.5949612403100772</v>
      </c>
      <c r="F259" s="190">
        <f t="shared" si="50"/>
        <v>5.8449612403100772</v>
      </c>
      <c r="G259" s="189">
        <v>9.8945233265720081</v>
      </c>
      <c r="H259" s="190">
        <f t="shared" si="50"/>
        <v>1.2995620862619308</v>
      </c>
      <c r="I259" s="189">
        <v>8.3199052132701414</v>
      </c>
      <c r="J259" s="190">
        <f t="shared" si="50"/>
        <v>-1.5746181133018666</v>
      </c>
      <c r="K259" s="189">
        <v>9.5922551252847388</v>
      </c>
      <c r="L259" s="190">
        <f t="shared" si="51"/>
        <v>1.2723499120145974</v>
      </c>
      <c r="M259" s="189">
        <v>7.0707070707070709</v>
      </c>
      <c r="N259" s="190">
        <f t="shared" si="49"/>
        <v>-2.5215480545776678</v>
      </c>
    </row>
    <row r="260" spans="2:15" x14ac:dyDescent="0.25">
      <c r="B260" s="119" t="s">
        <v>92</v>
      </c>
      <c r="C260" s="189">
        <v>4.2352941176470589</v>
      </c>
      <c r="D260" s="190">
        <v>-2.6409685086155674</v>
      </c>
      <c r="E260" s="189">
        <v>6.878007598142676</v>
      </c>
      <c r="F260" s="190">
        <f t="shared" si="50"/>
        <v>2.6427134804956172</v>
      </c>
      <c r="G260" s="189">
        <v>6.7535545023696679</v>
      </c>
      <c r="H260" s="190">
        <f t="shared" si="50"/>
        <v>-0.12445309577300812</v>
      </c>
      <c r="I260" s="189">
        <v>6.281114848630466</v>
      </c>
      <c r="J260" s="190">
        <f t="shared" si="50"/>
        <v>-0.47243965373920194</v>
      </c>
      <c r="K260" s="189">
        <v>7.0145454545454546</v>
      </c>
      <c r="L260" s="190">
        <f t="shared" si="51"/>
        <v>0.73343060591498865</v>
      </c>
      <c r="M260" s="189">
        <v>7.2699708454810494</v>
      </c>
      <c r="N260" s="190">
        <f t="shared" si="49"/>
        <v>0.2554253909355948</v>
      </c>
    </row>
    <row r="261" spans="2:15" x14ac:dyDescent="0.25">
      <c r="B261" s="119" t="s">
        <v>94</v>
      </c>
      <c r="C261" s="189">
        <v>5.9189189189189193</v>
      </c>
      <c r="D261" s="190">
        <v>-2.6005749251303278</v>
      </c>
      <c r="E261" s="189">
        <v>7.8625077591558039</v>
      </c>
      <c r="F261" s="190">
        <f t="shared" si="50"/>
        <v>1.9435888402368846</v>
      </c>
      <c r="G261" s="189">
        <v>7.8405093996361428</v>
      </c>
      <c r="H261" s="190">
        <f t="shared" si="50"/>
        <v>-2.1998359519661115E-2</v>
      </c>
      <c r="I261" s="189">
        <v>8.4503028143925896</v>
      </c>
      <c r="J261" s="190">
        <f t="shared" si="50"/>
        <v>0.60979341475644677</v>
      </c>
      <c r="K261" s="189">
        <v>7.8947197926789761</v>
      </c>
      <c r="L261" s="190">
        <f t="shared" si="51"/>
        <v>-0.55558302171361351</v>
      </c>
      <c r="M261" s="189">
        <v>7.0670840787119857</v>
      </c>
      <c r="N261" s="190">
        <f t="shared" si="49"/>
        <v>-0.82763571396699032</v>
      </c>
    </row>
    <row r="262" spans="2:15" x14ac:dyDescent="0.25">
      <c r="B262" s="119" t="s">
        <v>96</v>
      </c>
      <c r="C262" s="189">
        <v>7.8205128205128203</v>
      </c>
      <c r="D262" s="190">
        <v>-1.2378507650777975</v>
      </c>
      <c r="E262" s="189">
        <v>8.6154136758594628</v>
      </c>
      <c r="F262" s="190">
        <f t="shared" si="50"/>
        <v>0.79490085534664257</v>
      </c>
      <c r="G262" s="189">
        <v>8.5618691588785047</v>
      </c>
      <c r="H262" s="190">
        <f t="shared" si="50"/>
        <v>-5.3544516980958079E-2</v>
      </c>
      <c r="I262" s="189">
        <v>7.6238277179576244</v>
      </c>
      <c r="J262" s="190">
        <f t="shared" si="50"/>
        <v>-0.93804144092088038</v>
      </c>
      <c r="K262" s="189">
        <v>8.3462793733681462</v>
      </c>
      <c r="L262" s="190">
        <f t="shared" si="51"/>
        <v>0.72245165541052181</v>
      </c>
      <c r="M262" s="189">
        <v>8.3597122302158269</v>
      </c>
      <c r="N262" s="190">
        <f t="shared" si="49"/>
        <v>1.3432856847680696E-2</v>
      </c>
    </row>
    <row r="263" spans="2:15" ht="15.75" x14ac:dyDescent="0.25">
      <c r="B263" s="122" t="s">
        <v>33</v>
      </c>
      <c r="C263" s="191">
        <v>8.8963076923076922</v>
      </c>
      <c r="D263" s="192">
        <v>0.43811830934398621</v>
      </c>
      <c r="E263" s="191">
        <v>7.7692015570112982</v>
      </c>
      <c r="F263" s="192">
        <f t="shared" si="50"/>
        <v>-1.127106135296394</v>
      </c>
      <c r="G263" s="191">
        <v>8.2687803357527727</v>
      </c>
      <c r="H263" s="192">
        <f t="shared" si="50"/>
        <v>0.49957877874147449</v>
      </c>
      <c r="I263" s="191">
        <v>8.0130190605854317</v>
      </c>
      <c r="J263" s="192">
        <f t="shared" si="50"/>
        <v>-0.25576127516734104</v>
      </c>
      <c r="K263" s="191">
        <v>8.4210810567532288</v>
      </c>
      <c r="L263" s="192">
        <f t="shared" si="51"/>
        <v>0.40806199616779715</v>
      </c>
      <c r="M263" s="191">
        <v>8.3866820870957692</v>
      </c>
      <c r="N263" s="192">
        <v>-3.4398969657459588E-2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310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v>2020</v>
      </c>
      <c r="D271" s="308"/>
      <c r="E271" s="309">
        <v>2021</v>
      </c>
      <c r="F271" s="308"/>
      <c r="G271" s="309">
        <v>2022</v>
      </c>
      <c r="H271" s="308"/>
      <c r="I271" s="309">
        <v>2023</v>
      </c>
      <c r="J271" s="308"/>
      <c r="K271" s="309">
        <v>2024</v>
      </c>
      <c r="L271" s="308"/>
      <c r="M271" s="309">
        <v>2025</v>
      </c>
      <c r="N271" s="310"/>
    </row>
    <row r="272" spans="2:15" ht="16.5" thickTop="1" thickBot="1" x14ac:dyDescent="0.3">
      <c r="B272" s="87"/>
      <c r="C272" s="116" t="s">
        <v>72</v>
      </c>
      <c r="D272" s="117" t="str">
        <f>CONCATENATE("dif ",RIGHT(C271,2),"/",RIGHT(C271-1,2))</f>
        <v>dif 20/19</v>
      </c>
      <c r="E272" s="118" t="s">
        <v>72</v>
      </c>
      <c r="F272" s="117" t="str">
        <f>CONCATENATE("dif ",RIGHT(E271,2),"/",RIGHT(C271,2))</f>
        <v>dif 21/20</v>
      </c>
      <c r="G272" s="118" t="s">
        <v>72</v>
      </c>
      <c r="H272" s="117" t="str">
        <f>CONCATENATE("dif ",RIGHT(G271,2),"/",RIGHT(E271,2))</f>
        <v>dif 22/21</v>
      </c>
      <c r="I272" s="118" t="s">
        <v>72</v>
      </c>
      <c r="J272" s="117" t="str">
        <f>CONCATENATE("dif ",RIGHT(I271,2),"/",RIGHT(G271,2))</f>
        <v>dif 23/22</v>
      </c>
      <c r="K272" s="118" t="s">
        <v>72</v>
      </c>
      <c r="L272" s="117" t="str">
        <f>CONCATENATE("dif ",RIGHT(K271,2),"/",RIGHT(I271,2))</f>
        <v>dif 24/23</v>
      </c>
      <c r="M272" s="118" t="s">
        <v>72</v>
      </c>
      <c r="N272" s="117" t="str">
        <f>CONCATENATE("dif ",RIGHT(M271,2),"/",RIGHT(K271,2))</f>
        <v>dif 25/24</v>
      </c>
    </row>
    <row r="273" spans="2:14" x14ac:dyDescent="0.25">
      <c r="B273" s="119" t="s">
        <v>74</v>
      </c>
      <c r="C273" s="189">
        <v>9.6649278919914092</v>
      </c>
      <c r="D273" s="190">
        <v>0.13160481980424521</v>
      </c>
      <c r="E273" s="189">
        <v>8.3212341197822148</v>
      </c>
      <c r="F273" s="190">
        <f t="shared" ref="F273:J275" si="52">IFERROR(E273-C273,"-")</f>
        <v>-1.3436937722091944</v>
      </c>
      <c r="G273" s="189">
        <v>8.4030825496342736</v>
      </c>
      <c r="H273" s="190">
        <f t="shared" si="52"/>
        <v>8.1848429852058757E-2</v>
      </c>
      <c r="I273" s="189">
        <v>8.2004524886877821</v>
      </c>
      <c r="J273" s="190">
        <f t="shared" si="52"/>
        <v>-0.2026300609464915</v>
      </c>
      <c r="K273" s="189">
        <v>8.8776695003110095</v>
      </c>
      <c r="L273" s="190">
        <f t="shared" ref="L273:L275" si="53">IFERROR(K273-I273,"-")</f>
        <v>0.67721701162322745</v>
      </c>
      <c r="M273" s="189">
        <v>11.700116346713205</v>
      </c>
      <c r="N273" s="190">
        <f t="shared" ref="N273:N284" si="54">IFERROR(M273-K273,"-")</f>
        <v>2.8224468464021957</v>
      </c>
    </row>
    <row r="274" spans="2:14" x14ac:dyDescent="0.25">
      <c r="B274" s="119" t="s">
        <v>76</v>
      </c>
      <c r="C274" s="189">
        <v>8.2841480127912295</v>
      </c>
      <c r="D274" s="190">
        <v>-0.96722372932125289</v>
      </c>
      <c r="E274" s="189">
        <v>7.5951086956521738</v>
      </c>
      <c r="F274" s="190">
        <f t="shared" si="52"/>
        <v>-0.68903931713905564</v>
      </c>
      <c r="G274" s="189">
        <v>8.2292319749216301</v>
      </c>
      <c r="H274" s="190">
        <f t="shared" si="52"/>
        <v>0.63412327926945622</v>
      </c>
      <c r="I274" s="189">
        <v>8.7536041939711673</v>
      </c>
      <c r="J274" s="190">
        <f t="shared" si="52"/>
        <v>0.52437221904953724</v>
      </c>
      <c r="K274" s="189">
        <v>9.0517909002904169</v>
      </c>
      <c r="L274" s="190">
        <f t="shared" si="53"/>
        <v>0.29818670631924959</v>
      </c>
      <c r="M274" s="189">
        <v>9.5968225419664268</v>
      </c>
      <c r="N274" s="190">
        <f t="shared" si="54"/>
        <v>0.54503164167600993</v>
      </c>
    </row>
    <row r="275" spans="2:14" x14ac:dyDescent="0.25">
      <c r="B275" s="119" t="s">
        <v>78</v>
      </c>
      <c r="C275" s="189">
        <v>9.3773006134969332</v>
      </c>
      <c r="D275" s="190">
        <v>1.372271789751073</v>
      </c>
      <c r="E275" s="189">
        <v>11.540598290598291</v>
      </c>
      <c r="F275" s="190">
        <f t="shared" si="52"/>
        <v>2.1632976771013581</v>
      </c>
      <c r="G275" s="189">
        <v>9.0803940260565614</v>
      </c>
      <c r="H275" s="190">
        <f t="shared" si="52"/>
        <v>-2.4602042645417299</v>
      </c>
      <c r="I275" s="189">
        <v>9.4451237263464343</v>
      </c>
      <c r="J275" s="190">
        <f t="shared" si="52"/>
        <v>0.36472970028987284</v>
      </c>
      <c r="K275" s="189">
        <v>8.5975887170154692</v>
      </c>
      <c r="L275" s="190">
        <f t="shared" si="53"/>
        <v>-0.84753500933096504</v>
      </c>
      <c r="M275" s="189">
        <v>9.0525980235894163</v>
      </c>
      <c r="N275" s="190">
        <f t="shared" si="54"/>
        <v>0.45500930657394711</v>
      </c>
    </row>
    <row r="276" spans="2:14" x14ac:dyDescent="0.25">
      <c r="B276" s="119" t="s">
        <v>80</v>
      </c>
      <c r="C276" s="189" t="s">
        <v>298</v>
      </c>
      <c r="D276" s="190" t="s">
        <v>298</v>
      </c>
      <c r="E276" s="189">
        <v>11.967391304347826</v>
      </c>
      <c r="F276" s="190" t="str">
        <f>IFERROR(E276-C276,"-")</f>
        <v>-</v>
      </c>
      <c r="G276" s="189">
        <v>9.2377972465581983</v>
      </c>
      <c r="H276" s="190">
        <f>IFERROR(G276-E276,"-")</f>
        <v>-2.7295940577896278</v>
      </c>
      <c r="I276" s="189">
        <v>8.0933140933140937</v>
      </c>
      <c r="J276" s="190">
        <f>IFERROR(I276-G276,"-")</f>
        <v>-1.1444831532441047</v>
      </c>
      <c r="K276" s="189">
        <v>13.656119900083263</v>
      </c>
      <c r="L276" s="190">
        <f>IFERROR(K276-I276,"-")</f>
        <v>5.5628058067691697</v>
      </c>
      <c r="M276" s="189">
        <v>10.770879526977089</v>
      </c>
      <c r="N276" s="190">
        <f t="shared" si="54"/>
        <v>-2.8852403731061749</v>
      </c>
    </row>
    <row r="277" spans="2:14" x14ac:dyDescent="0.25">
      <c r="B277" s="119" t="s">
        <v>82</v>
      </c>
      <c r="C277" s="189" t="s">
        <v>298</v>
      </c>
      <c r="D277" s="190" t="s">
        <v>298</v>
      </c>
      <c r="E277" s="189">
        <v>9.6999999999999993</v>
      </c>
      <c r="F277" s="190" t="str">
        <f t="shared" ref="F277:J285" si="55">IFERROR(E277-C277,"-")</f>
        <v>-</v>
      </c>
      <c r="G277" s="189">
        <v>7.8695652173913047</v>
      </c>
      <c r="H277" s="190">
        <f t="shared" si="55"/>
        <v>-1.8304347826086946</v>
      </c>
      <c r="I277" s="189">
        <v>9.7523364485981308</v>
      </c>
      <c r="J277" s="190">
        <f t="shared" si="55"/>
        <v>1.8827712312068261</v>
      </c>
      <c r="K277" s="189">
        <v>9.2666666666666675</v>
      </c>
      <c r="L277" s="190">
        <f t="shared" ref="L277:L285" si="56">IFERROR(K277-I277,"-")</f>
        <v>-0.48566978193146326</v>
      </c>
      <c r="M277" s="189">
        <v>7.0697674418604652</v>
      </c>
      <c r="N277" s="190">
        <f t="shared" si="54"/>
        <v>-2.1968992248062023</v>
      </c>
    </row>
    <row r="278" spans="2:14" x14ac:dyDescent="0.25">
      <c r="B278" s="119" t="s">
        <v>84</v>
      </c>
      <c r="C278" s="189" t="s">
        <v>298</v>
      </c>
      <c r="D278" s="190" t="s">
        <v>298</v>
      </c>
      <c r="E278" s="189">
        <v>3</v>
      </c>
      <c r="F278" s="190" t="str">
        <f t="shared" si="55"/>
        <v>-</v>
      </c>
      <c r="G278" s="189">
        <v>8.5033557046979862</v>
      </c>
      <c r="H278" s="190">
        <f t="shared" si="55"/>
        <v>5.5033557046979862</v>
      </c>
      <c r="I278" s="189">
        <v>8.7606177606177607</v>
      </c>
      <c r="J278" s="190">
        <f t="shared" si="55"/>
        <v>0.25726205591977447</v>
      </c>
      <c r="K278" s="189">
        <v>8.6916666666666664</v>
      </c>
      <c r="L278" s="190">
        <f t="shared" si="56"/>
        <v>-6.8951093951094222E-2</v>
      </c>
      <c r="M278" s="189">
        <v>7.4573643410852712</v>
      </c>
      <c r="N278" s="190">
        <f t="shared" si="54"/>
        <v>-1.2343023255813952</v>
      </c>
    </row>
    <row r="279" spans="2:14" x14ac:dyDescent="0.25">
      <c r="B279" s="119" t="s">
        <v>86</v>
      </c>
      <c r="C279" s="189" t="s">
        <v>298</v>
      </c>
      <c r="D279" s="190" t="s">
        <v>298</v>
      </c>
      <c r="E279" s="189">
        <v>8.2982456140350873</v>
      </c>
      <c r="F279" s="190" t="str">
        <f t="shared" si="55"/>
        <v>-</v>
      </c>
      <c r="G279" s="189">
        <v>7.8888888888888893</v>
      </c>
      <c r="H279" s="190">
        <f t="shared" si="55"/>
        <v>-0.40935672514619803</v>
      </c>
      <c r="I279" s="189">
        <v>12.705627705627705</v>
      </c>
      <c r="J279" s="190">
        <f t="shared" si="55"/>
        <v>4.8167388167388161</v>
      </c>
      <c r="K279" s="189">
        <v>6.8508771929824563</v>
      </c>
      <c r="L279" s="190">
        <f t="shared" si="56"/>
        <v>-5.854750512645249</v>
      </c>
      <c r="M279" s="189">
        <v>8.5943396226415096</v>
      </c>
      <c r="N279" s="190">
        <f t="shared" si="54"/>
        <v>1.7434624296590533</v>
      </c>
    </row>
    <row r="280" spans="2:14" x14ac:dyDescent="0.25">
      <c r="B280" s="119" t="s">
        <v>88</v>
      </c>
      <c r="C280" s="189">
        <v>5.5</v>
      </c>
      <c r="D280" s="190">
        <v>-4.3538461538461544</v>
      </c>
      <c r="E280" s="189">
        <v>8.6111111111111107</v>
      </c>
      <c r="F280" s="190">
        <f t="shared" si="55"/>
        <v>3.1111111111111107</v>
      </c>
      <c r="G280" s="189">
        <v>6.964788732394366</v>
      </c>
      <c r="H280" s="190">
        <f t="shared" si="55"/>
        <v>-1.6463223787167447</v>
      </c>
      <c r="I280" s="189">
        <v>8.8852459016393439</v>
      </c>
      <c r="J280" s="190">
        <f t="shared" si="55"/>
        <v>1.9204571692449779</v>
      </c>
      <c r="K280" s="189">
        <v>7.3269230769230766</v>
      </c>
      <c r="L280" s="190">
        <f t="shared" si="56"/>
        <v>-1.5583228247162673</v>
      </c>
      <c r="M280" s="189">
        <v>6.5681818181818183</v>
      </c>
      <c r="N280" s="190">
        <f t="shared" si="54"/>
        <v>-0.75874125874125831</v>
      </c>
    </row>
    <row r="281" spans="2:14" x14ac:dyDescent="0.25">
      <c r="B281" s="119" t="s">
        <v>90</v>
      </c>
      <c r="C281" s="189">
        <v>7.4074074074074074</v>
      </c>
      <c r="D281" s="190">
        <v>-1.1861088020689019</v>
      </c>
      <c r="E281" s="189">
        <v>13.451612903225806</v>
      </c>
      <c r="F281" s="190">
        <f t="shared" si="55"/>
        <v>6.0442054958183986</v>
      </c>
      <c r="G281" s="189">
        <v>8.81</v>
      </c>
      <c r="H281" s="190">
        <f t="shared" si="55"/>
        <v>-4.6416129032258056</v>
      </c>
      <c r="I281" s="189">
        <v>7.7277936962750715</v>
      </c>
      <c r="J281" s="190">
        <f t="shared" si="55"/>
        <v>-1.082206303724929</v>
      </c>
      <c r="K281" s="189">
        <v>7.740384615384615</v>
      </c>
      <c r="L281" s="190">
        <f t="shared" si="56"/>
        <v>1.2590919109543464E-2</v>
      </c>
      <c r="M281" s="189">
        <v>6.833333333333333</v>
      </c>
      <c r="N281" s="190">
        <f t="shared" si="54"/>
        <v>-0.90705128205128194</v>
      </c>
    </row>
    <row r="282" spans="2:14" x14ac:dyDescent="0.25">
      <c r="B282" s="119" t="s">
        <v>92</v>
      </c>
      <c r="C282" s="189">
        <v>5.7944444444444443</v>
      </c>
      <c r="D282" s="190">
        <v>-0.38469790521300329</v>
      </c>
      <c r="E282" s="189">
        <v>4.2093967517401394</v>
      </c>
      <c r="F282" s="190">
        <f t="shared" si="55"/>
        <v>-1.5850476927043049</v>
      </c>
      <c r="G282" s="189">
        <v>5.3309920983318699</v>
      </c>
      <c r="H282" s="190">
        <f t="shared" si="55"/>
        <v>1.1215953465917305</v>
      </c>
      <c r="I282" s="189">
        <v>5.4709576138147566</v>
      </c>
      <c r="J282" s="190">
        <f t="shared" si="55"/>
        <v>0.13996551548288672</v>
      </c>
      <c r="K282" s="189">
        <v>5.8508442776735459</v>
      </c>
      <c r="L282" s="190">
        <f t="shared" si="56"/>
        <v>0.37988666385878922</v>
      </c>
      <c r="M282" s="189">
        <v>6.5883977900552484</v>
      </c>
      <c r="N282" s="190">
        <f t="shared" si="54"/>
        <v>0.73755351238170253</v>
      </c>
    </row>
    <row r="283" spans="2:14" x14ac:dyDescent="0.25">
      <c r="B283" s="119" t="s">
        <v>94</v>
      </c>
      <c r="C283" s="189">
        <v>9.0055970149253728</v>
      </c>
      <c r="D283" s="190">
        <v>-2.8492002140687589E-3</v>
      </c>
      <c r="E283" s="189">
        <v>9.3781206171107989</v>
      </c>
      <c r="F283" s="190">
        <f t="shared" si="55"/>
        <v>0.37252360218542613</v>
      </c>
      <c r="G283" s="189">
        <v>8.603550295857989</v>
      </c>
      <c r="H283" s="190">
        <f t="shared" si="55"/>
        <v>-0.77457032125280989</v>
      </c>
      <c r="I283" s="189">
        <v>9.4742484269401075</v>
      </c>
      <c r="J283" s="190">
        <f t="shared" si="55"/>
        <v>0.87069813108211846</v>
      </c>
      <c r="K283" s="189">
        <v>9.4645808736717836</v>
      </c>
      <c r="L283" s="190">
        <f t="shared" si="56"/>
        <v>-9.667553268323914E-3</v>
      </c>
      <c r="M283" s="189">
        <v>8.2555418719211815</v>
      </c>
      <c r="N283" s="190">
        <f t="shared" si="54"/>
        <v>-1.2090390017506021</v>
      </c>
    </row>
    <row r="284" spans="2:14" x14ac:dyDescent="0.25">
      <c r="B284" s="119" t="s">
        <v>96</v>
      </c>
      <c r="C284" s="189">
        <v>9.6896551724137936</v>
      </c>
      <c r="D284" s="190">
        <v>1.4419005779685818</v>
      </c>
      <c r="E284" s="189">
        <v>9.0790308624170759</v>
      </c>
      <c r="F284" s="190">
        <f t="shared" si="55"/>
        <v>-0.61062430999671768</v>
      </c>
      <c r="G284" s="189">
        <v>8.9088376804254246</v>
      </c>
      <c r="H284" s="190">
        <f t="shared" si="55"/>
        <v>-0.17019318199165134</v>
      </c>
      <c r="I284" s="189">
        <v>8.3665938864628817</v>
      </c>
      <c r="J284" s="190">
        <f t="shared" si="55"/>
        <v>-0.54224379396254285</v>
      </c>
      <c r="K284" s="189">
        <v>8.2607965451055669</v>
      </c>
      <c r="L284" s="190">
        <f t="shared" si="56"/>
        <v>-0.10579734135731478</v>
      </c>
      <c r="M284" s="189">
        <v>8.7709198813056375</v>
      </c>
      <c r="N284" s="190">
        <f t="shared" si="54"/>
        <v>0.51012333620007055</v>
      </c>
    </row>
    <row r="285" spans="2:14" ht="15.75" x14ac:dyDescent="0.25">
      <c r="B285" s="122" t="s">
        <v>33</v>
      </c>
      <c r="C285" s="191">
        <v>8.9643305251837244</v>
      </c>
      <c r="D285" s="192">
        <v>0.33865125726399015</v>
      </c>
      <c r="E285" s="191">
        <v>8.4270435446906031</v>
      </c>
      <c r="F285" s="192">
        <f t="shared" si="55"/>
        <v>-0.53728698049312129</v>
      </c>
      <c r="G285" s="191">
        <v>8.3434397163120568</v>
      </c>
      <c r="H285" s="192">
        <f t="shared" si="55"/>
        <v>-8.3603828378546297E-2</v>
      </c>
      <c r="I285" s="191">
        <v>8.4642237804418308</v>
      </c>
      <c r="J285" s="192">
        <f t="shared" si="55"/>
        <v>0.12078406412977394</v>
      </c>
      <c r="K285" s="191">
        <v>8.7879118657772395</v>
      </c>
      <c r="L285" s="192">
        <f t="shared" si="56"/>
        <v>0.32368808533540872</v>
      </c>
      <c r="M285" s="191">
        <v>9.2594144321766567</v>
      </c>
      <c r="N285" s="192">
        <v>0.47150256639941723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C808A-635E-4F2D-9537-DB037E9456DA}">
  <sheetPr>
    <tabColor theme="4" tint="0.79998168889431442"/>
  </sheetPr>
  <dimension ref="A4:O111"/>
  <sheetViews>
    <sheetView showGridLines="0" zoomScaleNormal="100" workbookViewId="0">
      <selection activeCell="H9" sqref="H9"/>
    </sheetView>
  </sheetViews>
  <sheetFormatPr baseColWidth="10" defaultColWidth="11.42578125" defaultRowHeight="15" x14ac:dyDescent="0.25"/>
  <cols>
    <col min="1" max="1" width="15.28515625" customWidth="1"/>
    <col min="3" max="13" width="11.42578125" style="194"/>
    <col min="14" max="14" width="13.5703125" style="194" bestFit="1" customWidth="1"/>
  </cols>
  <sheetData>
    <row r="4" spans="1:15" ht="48.75" customHeight="1" thickBot="1" x14ac:dyDescent="0.3">
      <c r="B4" s="283" t="s">
        <v>299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39"/>
      <c r="N5" s="39"/>
      <c r="O5" s="1" t="s">
        <v>70</v>
      </c>
    </row>
    <row r="6" spans="1:15" ht="22.5" thickTop="1" thickBot="1" x14ac:dyDescent="0.3">
      <c r="B6" s="110" t="s">
        <v>33</v>
      </c>
      <c r="C6" s="315" t="s">
        <v>135</v>
      </c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</row>
    <row r="7" spans="1:15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CONCATENATE("def ",RIGHT(M7,2),"/",RIGHT(K7,2))</f>
        <v>def 25/24</v>
      </c>
    </row>
    <row r="9" spans="1:15" x14ac:dyDescent="0.25">
      <c r="A9" s="1" t="s">
        <v>73</v>
      </c>
      <c r="B9" s="119" t="s">
        <v>74</v>
      </c>
      <c r="C9" s="189">
        <v>8.698648398805064</v>
      </c>
      <c r="D9" s="190">
        <v>0.10698328581209893</v>
      </c>
      <c r="E9" s="189">
        <v>6.4503121098626712</v>
      </c>
      <c r="F9" s="190">
        <f t="shared" ref="F9:J21" si="0">IFERROR(E9-C9,"-")</f>
        <v>-2.2483362889423928</v>
      </c>
      <c r="G9" s="189">
        <v>7.8975915168785624</v>
      </c>
      <c r="H9" s="190">
        <f t="shared" si="0"/>
        <v>1.4472794070158912</v>
      </c>
      <c r="I9" s="189">
        <v>7.9384785610073729</v>
      </c>
      <c r="J9" s="190">
        <f t="shared" si="0"/>
        <v>4.0887044128810501E-2</v>
      </c>
      <c r="K9" s="189">
        <v>8.1765736833344764</v>
      </c>
      <c r="L9" s="190">
        <f t="shared" ref="L9:L21" si="1">IFERROR(K9-I9,"-")</f>
        <v>0.2380951223271035</v>
      </c>
      <c r="M9" s="189">
        <v>8.0574486474558196</v>
      </c>
      <c r="N9" s="190">
        <f t="shared" ref="N9:N20" si="2">IFERROR(M9-K9,"-")</f>
        <v>-0.11912503587865686</v>
      </c>
    </row>
    <row r="10" spans="1:15" x14ac:dyDescent="0.25">
      <c r="A10" s="1" t="s">
        <v>75</v>
      </c>
      <c r="B10" s="119" t="s">
        <v>76</v>
      </c>
      <c r="C10" s="189">
        <v>7.9022125154306337</v>
      </c>
      <c r="D10" s="190">
        <v>-0.13598710257318558</v>
      </c>
      <c r="E10" s="189">
        <v>5.3170466883821934</v>
      </c>
      <c r="F10" s="190">
        <f t="shared" si="0"/>
        <v>-2.5851658270484403</v>
      </c>
      <c r="G10" s="189">
        <v>6.9120244256787435</v>
      </c>
      <c r="H10" s="190">
        <f t="shared" si="0"/>
        <v>1.5949777372965501</v>
      </c>
      <c r="I10" s="189">
        <v>7.573860021727854</v>
      </c>
      <c r="J10" s="190">
        <f t="shared" si="0"/>
        <v>0.66183559604911046</v>
      </c>
      <c r="K10" s="189">
        <v>7.3477985852502536</v>
      </c>
      <c r="L10" s="190">
        <f t="shared" si="1"/>
        <v>-0.22606143647760035</v>
      </c>
      <c r="M10" s="189">
        <v>7.0598509811422456</v>
      </c>
      <c r="N10" s="190">
        <f t="shared" si="2"/>
        <v>-0.28794760410800802</v>
      </c>
    </row>
    <row r="11" spans="1:15" x14ac:dyDescent="0.25">
      <c r="A11" s="1" t="s">
        <v>77</v>
      </c>
      <c r="B11" s="119" t="s">
        <v>78</v>
      </c>
      <c r="C11" s="189">
        <v>9.2650728155339799</v>
      </c>
      <c r="D11" s="190">
        <v>2.0269272667703646</v>
      </c>
      <c r="E11" s="189">
        <v>5.692027581932285</v>
      </c>
      <c r="F11" s="190">
        <f t="shared" si="0"/>
        <v>-3.5730452336016949</v>
      </c>
      <c r="G11" s="189">
        <v>7.1458150200649726</v>
      </c>
      <c r="H11" s="190">
        <f t="shared" si="0"/>
        <v>1.4537874381326876</v>
      </c>
      <c r="I11" s="189">
        <v>7.1611875782049825</v>
      </c>
      <c r="J11" s="190">
        <f t="shared" si="0"/>
        <v>1.5372558140009929E-2</v>
      </c>
      <c r="K11" s="189">
        <v>7.0496921187274779</v>
      </c>
      <c r="L11" s="190">
        <f t="shared" si="1"/>
        <v>-0.11149545947750461</v>
      </c>
      <c r="M11" s="189">
        <v>6.7263591941427618</v>
      </c>
      <c r="N11" s="190">
        <f t="shared" si="2"/>
        <v>-0.32333292458471607</v>
      </c>
    </row>
    <row r="12" spans="1:15" x14ac:dyDescent="0.25">
      <c r="A12" s="1" t="s">
        <v>79</v>
      </c>
      <c r="B12" s="119" t="s">
        <v>80</v>
      </c>
      <c r="C12" s="189" t="s">
        <v>298</v>
      </c>
      <c r="D12" s="190" t="s">
        <v>298</v>
      </c>
      <c r="E12" s="189">
        <v>5.1790914385556199</v>
      </c>
      <c r="F12" s="190" t="str">
        <f t="shared" si="0"/>
        <v>-</v>
      </c>
      <c r="G12" s="189">
        <v>6.5430669710120082</v>
      </c>
      <c r="H12" s="190">
        <f t="shared" si="0"/>
        <v>1.3639755324563883</v>
      </c>
      <c r="I12" s="189">
        <v>6.6071071115401994</v>
      </c>
      <c r="J12" s="190">
        <f t="shared" si="0"/>
        <v>6.4040140528191181E-2</v>
      </c>
      <c r="K12" s="189">
        <v>6.9559722393475543</v>
      </c>
      <c r="L12" s="190">
        <f t="shared" si="1"/>
        <v>0.3488651278073549</v>
      </c>
      <c r="M12" s="189">
        <v>6.5324405509050463</v>
      </c>
      <c r="N12" s="190">
        <f t="shared" si="2"/>
        <v>-0.42353168844250799</v>
      </c>
    </row>
    <row r="13" spans="1:15" x14ac:dyDescent="0.25">
      <c r="A13" s="1" t="s">
        <v>81</v>
      </c>
      <c r="B13" s="119" t="s">
        <v>82</v>
      </c>
      <c r="C13" s="189" t="s">
        <v>298</v>
      </c>
      <c r="D13" s="190" t="s">
        <v>298</v>
      </c>
      <c r="E13" s="189">
        <v>4.6204303863106038</v>
      </c>
      <c r="F13" s="190" t="str">
        <f t="shared" si="0"/>
        <v>-</v>
      </c>
      <c r="G13" s="189">
        <v>6.7084381642859343</v>
      </c>
      <c r="H13" s="190">
        <f t="shared" si="0"/>
        <v>2.0880077779753305</v>
      </c>
      <c r="I13" s="189">
        <v>6.9440868449374946</v>
      </c>
      <c r="J13" s="190">
        <f t="shared" si="0"/>
        <v>0.2356486806515603</v>
      </c>
      <c r="K13" s="189">
        <v>6.7511616134222852</v>
      </c>
      <c r="L13" s="190">
        <f t="shared" si="1"/>
        <v>-0.19292523151520946</v>
      </c>
      <c r="M13" s="189">
        <v>6.3569210711406177</v>
      </c>
      <c r="N13" s="190">
        <f t="shared" si="2"/>
        <v>-0.39424054228166749</v>
      </c>
    </row>
    <row r="14" spans="1:15" x14ac:dyDescent="0.25">
      <c r="A14" s="1" t="s">
        <v>83</v>
      </c>
      <c r="B14" s="119" t="s">
        <v>84</v>
      </c>
      <c r="C14" s="189" t="s">
        <v>298</v>
      </c>
      <c r="D14" s="190" t="s">
        <v>298</v>
      </c>
      <c r="E14" s="189">
        <v>5.3860594883435002</v>
      </c>
      <c r="F14" s="190" t="str">
        <f t="shared" si="0"/>
        <v>-</v>
      </c>
      <c r="G14" s="189">
        <v>6.7874628069998488</v>
      </c>
      <c r="H14" s="190">
        <f t="shared" si="0"/>
        <v>1.4014033186563486</v>
      </c>
      <c r="I14" s="189">
        <v>6.9046855643809666</v>
      </c>
      <c r="J14" s="190">
        <f t="shared" si="0"/>
        <v>0.11722275738111776</v>
      </c>
      <c r="K14" s="189">
        <v>6.9467325160948938</v>
      </c>
      <c r="L14" s="190">
        <f t="shared" si="1"/>
        <v>4.204695171392725E-2</v>
      </c>
      <c r="M14" s="189">
        <v>6.9037161585469944</v>
      </c>
      <c r="N14" s="190">
        <f t="shared" si="2"/>
        <v>-4.3016357547899453E-2</v>
      </c>
    </row>
    <row r="15" spans="1:15" x14ac:dyDescent="0.25">
      <c r="A15" s="1" t="s">
        <v>85</v>
      </c>
      <c r="B15" s="119" t="s">
        <v>86</v>
      </c>
      <c r="C15" s="189" t="s">
        <v>298</v>
      </c>
      <c r="D15" s="190" t="s">
        <v>298</v>
      </c>
      <c r="E15" s="189">
        <v>6.0443979654893756</v>
      </c>
      <c r="F15" s="190" t="str">
        <f t="shared" si="0"/>
        <v>-</v>
      </c>
      <c r="G15" s="189">
        <v>7.167841512711723</v>
      </c>
      <c r="H15" s="190">
        <f t="shared" si="0"/>
        <v>1.1234435472223474</v>
      </c>
      <c r="I15" s="189">
        <v>7.7040926272653412</v>
      </c>
      <c r="J15" s="190">
        <f t="shared" si="0"/>
        <v>0.53625111455361818</v>
      </c>
      <c r="K15" s="189">
        <v>7.3925116386568499</v>
      </c>
      <c r="L15" s="190">
        <f t="shared" si="1"/>
        <v>-0.31158098860849126</v>
      </c>
      <c r="M15" s="189">
        <v>7.3919088355262117</v>
      </c>
      <c r="N15" s="190">
        <f t="shared" si="2"/>
        <v>-6.0280313063820756E-4</v>
      </c>
    </row>
    <row r="16" spans="1:15" x14ac:dyDescent="0.25">
      <c r="A16" s="1" t="s">
        <v>87</v>
      </c>
      <c r="B16" s="119" t="s">
        <v>88</v>
      </c>
      <c r="C16" s="189">
        <v>6.2072200759666263</v>
      </c>
      <c r="D16" s="190">
        <v>-1.8809502763133246</v>
      </c>
      <c r="E16" s="189">
        <v>7.2883713042003508</v>
      </c>
      <c r="F16" s="190">
        <f t="shared" si="0"/>
        <v>1.0811512282337246</v>
      </c>
      <c r="G16" s="189">
        <v>7.5955180077018341</v>
      </c>
      <c r="H16" s="190">
        <f t="shared" si="0"/>
        <v>0.30714670350148321</v>
      </c>
      <c r="I16" s="189">
        <v>8.1097716550938816</v>
      </c>
      <c r="J16" s="190">
        <f t="shared" si="0"/>
        <v>0.5142536473920476</v>
      </c>
      <c r="K16" s="189">
        <v>7.4201266434724724</v>
      </c>
      <c r="L16" s="190">
        <f t="shared" si="1"/>
        <v>-0.68964501162140923</v>
      </c>
      <c r="M16" s="189">
        <v>7.3521215652005045</v>
      </c>
      <c r="N16" s="190">
        <f t="shared" si="2"/>
        <v>-6.8005078271967889E-2</v>
      </c>
    </row>
    <row r="17" spans="1:15" x14ac:dyDescent="0.25">
      <c r="A17" s="1" t="s">
        <v>89</v>
      </c>
      <c r="B17" s="119" t="s">
        <v>90</v>
      </c>
      <c r="C17" s="189">
        <v>5.8190319031903188</v>
      </c>
      <c r="D17" s="190">
        <v>-2.2064038579189456</v>
      </c>
      <c r="E17" s="189">
        <v>7.164842426296171</v>
      </c>
      <c r="F17" s="190">
        <f t="shared" si="0"/>
        <v>1.3458105231058521</v>
      </c>
      <c r="G17" s="189">
        <v>7.2474007241185694</v>
      </c>
      <c r="H17" s="190">
        <f t="shared" si="0"/>
        <v>8.255829782239843E-2</v>
      </c>
      <c r="I17" s="189">
        <v>7.4536678097510061</v>
      </c>
      <c r="J17" s="190">
        <f t="shared" si="0"/>
        <v>0.20626708563243668</v>
      </c>
      <c r="K17" s="189">
        <v>7.2665766981556459</v>
      </c>
      <c r="L17" s="190">
        <f t="shared" si="1"/>
        <v>-0.18709111159536018</v>
      </c>
      <c r="M17" s="189">
        <v>7.0362903573801896</v>
      </c>
      <c r="N17" s="190">
        <f t="shared" si="2"/>
        <v>-0.23028634077545629</v>
      </c>
    </row>
    <row r="18" spans="1:15" x14ac:dyDescent="0.25">
      <c r="A18" s="1" t="s">
        <v>91</v>
      </c>
      <c r="B18" s="119" t="s">
        <v>92</v>
      </c>
      <c r="C18" s="189">
        <v>4.6894435729445423</v>
      </c>
      <c r="D18" s="190">
        <v>-2.8488036638951675</v>
      </c>
      <c r="E18" s="189">
        <v>7.0135595872877472</v>
      </c>
      <c r="F18" s="190">
        <f t="shared" si="0"/>
        <v>2.3241160143432049</v>
      </c>
      <c r="G18" s="189">
        <v>7.0836770928106425</v>
      </c>
      <c r="H18" s="190">
        <f t="shared" si="0"/>
        <v>7.0117505522895307E-2</v>
      </c>
      <c r="I18" s="189">
        <v>7.2239690096301068</v>
      </c>
      <c r="J18" s="190">
        <f t="shared" si="0"/>
        <v>0.14029191681946429</v>
      </c>
      <c r="K18" s="189">
        <v>6.9581148065238247</v>
      </c>
      <c r="L18" s="190">
        <f t="shared" si="1"/>
        <v>-0.26585420310628205</v>
      </c>
      <c r="M18" s="189">
        <v>6.896675995859372</v>
      </c>
      <c r="N18" s="190">
        <f t="shared" si="2"/>
        <v>-6.1438810664452781E-2</v>
      </c>
    </row>
    <row r="19" spans="1:15" x14ac:dyDescent="0.25">
      <c r="A19" s="1" t="s">
        <v>93</v>
      </c>
      <c r="B19" s="119" t="s">
        <v>94</v>
      </c>
      <c r="C19" s="189">
        <v>6.71445023639229</v>
      </c>
      <c r="D19" s="190">
        <v>-1.0001215514342832</v>
      </c>
      <c r="E19" s="189">
        <v>7.474227037296723</v>
      </c>
      <c r="F19" s="190">
        <f t="shared" si="0"/>
        <v>0.759776800904433</v>
      </c>
      <c r="G19" s="189">
        <v>7.319989568392228</v>
      </c>
      <c r="H19" s="190">
        <f t="shared" si="0"/>
        <v>-0.15423746890449497</v>
      </c>
      <c r="I19" s="189">
        <v>7.4367055851367114</v>
      </c>
      <c r="J19" s="190">
        <f t="shared" si="0"/>
        <v>0.1167160167444834</v>
      </c>
      <c r="K19" s="189">
        <v>7.1759629902735345</v>
      </c>
      <c r="L19" s="190">
        <f t="shared" si="1"/>
        <v>-0.26074259486317697</v>
      </c>
      <c r="M19" s="189">
        <v>6.8719741841987751</v>
      </c>
      <c r="N19" s="190">
        <f t="shared" si="2"/>
        <v>-0.30398880607475931</v>
      </c>
    </row>
    <row r="20" spans="1:15" x14ac:dyDescent="0.25">
      <c r="A20" s="1" t="s">
        <v>95</v>
      </c>
      <c r="B20" s="119" t="s">
        <v>96</v>
      </c>
      <c r="C20" s="189">
        <v>6.7961834693642951</v>
      </c>
      <c r="D20" s="190">
        <v>-1.1000705546333638</v>
      </c>
      <c r="E20" s="189">
        <v>7.3496544290152812</v>
      </c>
      <c r="F20" s="190">
        <f t="shared" si="0"/>
        <v>0.55347095965098614</v>
      </c>
      <c r="G20" s="189">
        <v>7.2560849086919399</v>
      </c>
      <c r="H20" s="190">
        <f t="shared" si="0"/>
        <v>-9.3569520323341315E-2</v>
      </c>
      <c r="I20" s="189">
        <v>7.4519302269326904</v>
      </c>
      <c r="J20" s="190">
        <f t="shared" si="0"/>
        <v>0.19584531824075047</v>
      </c>
      <c r="K20" s="189">
        <v>7.2321784322217413</v>
      </c>
      <c r="L20" s="190">
        <f t="shared" si="1"/>
        <v>-0.21975179471094908</v>
      </c>
      <c r="M20" s="189">
        <v>7.2433035311117129</v>
      </c>
      <c r="N20" s="190">
        <f t="shared" si="2"/>
        <v>1.1125098889971596E-2</v>
      </c>
    </row>
    <row r="21" spans="1:15" ht="15.75" x14ac:dyDescent="0.25">
      <c r="A21" s="1" t="s">
        <v>0</v>
      </c>
      <c r="B21" s="122" t="s">
        <v>33</v>
      </c>
      <c r="C21" s="191">
        <v>7.6155004062928775</v>
      </c>
      <c r="D21" s="192">
        <v>-0.15230900889600463</v>
      </c>
      <c r="E21" s="191">
        <v>6.8402382490482632</v>
      </c>
      <c r="F21" s="192">
        <f t="shared" si="0"/>
        <v>-0.77526215724461434</v>
      </c>
      <c r="G21" s="191">
        <v>7.1290659289847085</v>
      </c>
      <c r="H21" s="192">
        <f t="shared" si="0"/>
        <v>0.28882767993644531</v>
      </c>
      <c r="I21" s="191">
        <v>7.3769342975031353</v>
      </c>
      <c r="J21" s="192">
        <f t="shared" si="0"/>
        <v>0.24786836851842686</v>
      </c>
      <c r="K21" s="191">
        <v>7.2151283150609418</v>
      </c>
      <c r="L21" s="192">
        <f t="shared" si="1"/>
        <v>-0.16180598244219357</v>
      </c>
      <c r="M21" s="191">
        <v>7.0304533997772856</v>
      </c>
      <c r="N21" s="192">
        <v>-0.1846749152836562</v>
      </c>
    </row>
    <row r="22" spans="1:15" ht="6" customHeight="1" x14ac:dyDescent="0.25"/>
    <row r="23" spans="1:15" x14ac:dyDescent="0.25">
      <c r="B23" s="107" t="s">
        <v>58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</row>
    <row r="24" spans="1:15" x14ac:dyDescent="0.25">
      <c r="N24" s="196"/>
    </row>
    <row r="25" spans="1:15" x14ac:dyDescent="0.25">
      <c r="B25" t="s">
        <v>12</v>
      </c>
    </row>
    <row r="26" spans="1:15" ht="48.75" customHeight="1" thickBot="1" x14ac:dyDescent="0.3">
      <c r="B26" s="283" t="s">
        <v>311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39"/>
      <c r="N27" s="39"/>
      <c r="O27" s="1" t="s">
        <v>98</v>
      </c>
    </row>
    <row r="28" spans="1:15" ht="22.5" thickTop="1" thickBot="1" x14ac:dyDescent="0.3">
      <c r="B28" s="126" t="s">
        <v>99</v>
      </c>
      <c r="C28" s="315" t="s">
        <v>140</v>
      </c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</row>
    <row r="29" spans="1:15" ht="22.5" thickTop="1" thickBot="1" x14ac:dyDescent="0.3">
      <c r="B29" s="111"/>
      <c r="C29" s="307">
        <v>2020</v>
      </c>
      <c r="D29" s="308"/>
      <c r="E29" s="309">
        <v>2021</v>
      </c>
      <c r="F29" s="308"/>
      <c r="G29" s="309">
        <v>2022</v>
      </c>
      <c r="H29" s="308"/>
      <c r="I29" s="309">
        <v>2023</v>
      </c>
      <c r="J29" s="308"/>
      <c r="K29" s="309">
        <v>2024</v>
      </c>
      <c r="L29" s="308"/>
      <c r="M29" s="309">
        <f>M$7</f>
        <v>2025</v>
      </c>
      <c r="N29" s="310"/>
    </row>
    <row r="30" spans="1:15" ht="16.5" thickTop="1" thickBot="1" x14ac:dyDescent="0.3">
      <c r="B30" s="87"/>
      <c r="C30" s="116" t="s">
        <v>72</v>
      </c>
      <c r="D30" s="117" t="str">
        <f>CONCATENATE("dif ",RIGHT(C29,2),"/",RIGHT(C29-1,2))</f>
        <v>dif 20/19</v>
      </c>
      <c r="E30" s="118" t="s">
        <v>72</v>
      </c>
      <c r="F30" s="117" t="str">
        <f>CONCATENATE("dif ",RIGHT(E29,2),"/",RIGHT(C29,2))</f>
        <v>dif 21/20</v>
      </c>
      <c r="G30" s="118" t="s">
        <v>72</v>
      </c>
      <c r="H30" s="117" t="str">
        <f>CONCATENATE("dif ",RIGHT(G29,2),"/",RIGHT(E29,2))</f>
        <v>dif 22/21</v>
      </c>
      <c r="I30" s="118" t="s">
        <v>72</v>
      </c>
      <c r="J30" s="117" t="str">
        <f>CONCATENATE("dif ",RIGHT(I29,2),"/",RIGHT(G29,2))</f>
        <v>dif 23/22</v>
      </c>
      <c r="K30" s="118" t="s">
        <v>72</v>
      </c>
      <c r="L30" s="117" t="str">
        <f>CONCATENATE("dif ",RIGHT(K29,2),"/",RIGHT(I29,2))</f>
        <v>dif 24/23</v>
      </c>
      <c r="M30" s="118" t="s">
        <v>72</v>
      </c>
      <c r="N30" s="117" t="str">
        <f>CONCATENATE("def ",RIGHT(M29,2),"/",RIGHT(K29,2))</f>
        <v>def 25/24</v>
      </c>
    </row>
    <row r="31" spans="1:15" x14ac:dyDescent="0.25">
      <c r="B31" s="119" t="s">
        <v>74</v>
      </c>
      <c r="C31" s="189">
        <v>8.2833862223985193</v>
      </c>
      <c r="D31" s="190">
        <v>0.12218844581612665</v>
      </c>
      <c r="E31" s="189">
        <v>7.0366795366795367</v>
      </c>
      <c r="F31" s="190">
        <f t="shared" ref="F31:J43" si="3">IFERROR(E31-C31,"-")</f>
        <v>-1.2467066857189826</v>
      </c>
      <c r="G31" s="189">
        <v>7.5615990822484909</v>
      </c>
      <c r="H31" s="190">
        <f t="shared" si="3"/>
        <v>0.52491954556895415</v>
      </c>
      <c r="I31" s="189">
        <v>7.715962775118105</v>
      </c>
      <c r="J31" s="190">
        <f t="shared" si="3"/>
        <v>0.15436369286961416</v>
      </c>
      <c r="K31" s="189">
        <v>7.4547813613139278</v>
      </c>
      <c r="L31" s="190">
        <f t="shared" ref="L31:L43" si="4">IFERROR(K31-I31,"-")</f>
        <v>-0.26118141380417725</v>
      </c>
      <c r="M31" s="189">
        <v>7.4272287630616889</v>
      </c>
      <c r="N31" s="190">
        <f>IFERROR(M31-K31,"-")</f>
        <v>-2.755259825223888E-2</v>
      </c>
    </row>
    <row r="32" spans="1:15" x14ac:dyDescent="0.25">
      <c r="B32" s="119" t="s">
        <v>76</v>
      </c>
      <c r="C32" s="189">
        <v>7.4081368395811689</v>
      </c>
      <c r="D32" s="190">
        <v>1.1861573528744174E-2</v>
      </c>
      <c r="E32" s="189">
        <v>5.5613919894944193</v>
      </c>
      <c r="F32" s="190">
        <f t="shared" si="3"/>
        <v>-1.8467448500867496</v>
      </c>
      <c r="G32" s="189">
        <v>6.4374683149397498</v>
      </c>
      <c r="H32" s="190">
        <f t="shared" si="3"/>
        <v>0.87607632544533054</v>
      </c>
      <c r="I32" s="189">
        <v>7.1782292003884756</v>
      </c>
      <c r="J32" s="190">
        <f t="shared" si="3"/>
        <v>0.74076088544872576</v>
      </c>
      <c r="K32" s="189">
        <v>6.8396673707221245</v>
      </c>
      <c r="L32" s="190">
        <f t="shared" si="4"/>
        <v>-0.33856182966635107</v>
      </c>
      <c r="M32" s="189">
        <v>6.5099681895464272</v>
      </c>
      <c r="N32" s="190">
        <f t="shared" ref="N32:N42" si="5">IFERROR(M32-K32,"-")</f>
        <v>-0.3296991811756973</v>
      </c>
    </row>
    <row r="33" spans="2:15" x14ac:dyDescent="0.25">
      <c r="B33" s="119" t="s">
        <v>78</v>
      </c>
      <c r="C33" s="189">
        <v>8.9463966399135035</v>
      </c>
      <c r="D33" s="190">
        <v>1.9949093822828532</v>
      </c>
      <c r="E33" s="189">
        <v>5.6058898847631244</v>
      </c>
      <c r="F33" s="190">
        <f t="shared" si="3"/>
        <v>-3.3405067551503791</v>
      </c>
      <c r="G33" s="189">
        <v>7.0441555012870438</v>
      </c>
      <c r="H33" s="190">
        <f t="shared" si="3"/>
        <v>1.4382656165239194</v>
      </c>
      <c r="I33" s="189">
        <v>6.9371056170476884</v>
      </c>
      <c r="J33" s="190">
        <f t="shared" si="3"/>
        <v>-0.10704988423935546</v>
      </c>
      <c r="K33" s="189">
        <v>6.5262970766394526</v>
      </c>
      <c r="L33" s="190">
        <f t="shared" si="4"/>
        <v>-0.41080854040823578</v>
      </c>
      <c r="M33" s="189">
        <v>6.4003403274646944</v>
      </c>
      <c r="N33" s="190">
        <f t="shared" si="5"/>
        <v>-0.12595674917475819</v>
      </c>
    </row>
    <row r="34" spans="2:15" x14ac:dyDescent="0.25">
      <c r="B34" s="119" t="s">
        <v>80</v>
      </c>
      <c r="C34" s="189" t="s">
        <v>298</v>
      </c>
      <c r="D34" s="190" t="s">
        <v>298</v>
      </c>
      <c r="E34" s="189">
        <v>6.4394537177541729</v>
      </c>
      <c r="F34" s="190" t="str">
        <f t="shared" si="3"/>
        <v>-</v>
      </c>
      <c r="G34" s="189">
        <v>6.3882504919411778</v>
      </c>
      <c r="H34" s="190">
        <f t="shared" si="3"/>
        <v>-5.1203225812995079E-2</v>
      </c>
      <c r="I34" s="189">
        <v>6.4716835546238061</v>
      </c>
      <c r="J34" s="190">
        <f t="shared" si="3"/>
        <v>8.343306268262829E-2</v>
      </c>
      <c r="K34" s="189">
        <v>6.6061483034580517</v>
      </c>
      <c r="L34" s="190">
        <f t="shared" si="4"/>
        <v>0.13446474883424564</v>
      </c>
      <c r="M34" s="189">
        <v>6.246210180524999</v>
      </c>
      <c r="N34" s="190">
        <f t="shared" si="5"/>
        <v>-0.35993812293305272</v>
      </c>
    </row>
    <row r="35" spans="2:15" x14ac:dyDescent="0.25">
      <c r="B35" s="119" t="s">
        <v>82</v>
      </c>
      <c r="C35" s="189" t="s">
        <v>298</v>
      </c>
      <c r="D35" s="190" t="s">
        <v>298</v>
      </c>
      <c r="E35" s="189">
        <v>5.2386780905752754</v>
      </c>
      <c r="F35" s="190" t="str">
        <f t="shared" si="3"/>
        <v>-</v>
      </c>
      <c r="G35" s="189">
        <v>6.5573295119278425</v>
      </c>
      <c r="H35" s="190">
        <f t="shared" si="3"/>
        <v>1.3186514213525671</v>
      </c>
      <c r="I35" s="189">
        <v>6.7713763585649707</v>
      </c>
      <c r="J35" s="190">
        <f t="shared" si="3"/>
        <v>0.21404684663712814</v>
      </c>
      <c r="K35" s="189">
        <v>6.3668200745123826</v>
      </c>
      <c r="L35" s="190">
        <f t="shared" si="4"/>
        <v>-0.40455628405258803</v>
      </c>
      <c r="M35" s="189">
        <v>6.1565574912891989</v>
      </c>
      <c r="N35" s="190">
        <f t="shared" si="5"/>
        <v>-0.2102625832231837</v>
      </c>
    </row>
    <row r="36" spans="2:15" x14ac:dyDescent="0.25">
      <c r="B36" s="119" t="s">
        <v>84</v>
      </c>
      <c r="C36" s="189" t="s">
        <v>298</v>
      </c>
      <c r="D36" s="190" t="s">
        <v>298</v>
      </c>
      <c r="E36" s="189">
        <v>5.9221604447974583</v>
      </c>
      <c r="F36" s="190" t="str">
        <f t="shared" si="3"/>
        <v>-</v>
      </c>
      <c r="G36" s="189">
        <v>6.5912740640417917</v>
      </c>
      <c r="H36" s="190">
        <f t="shared" si="3"/>
        <v>0.66911361924433344</v>
      </c>
      <c r="I36" s="189">
        <v>6.750382689078128</v>
      </c>
      <c r="J36" s="190">
        <f t="shared" si="3"/>
        <v>0.15910862503633627</v>
      </c>
      <c r="K36" s="189">
        <v>6.5637853697068866</v>
      </c>
      <c r="L36" s="190">
        <f t="shared" si="4"/>
        <v>-0.18659731937124135</v>
      </c>
      <c r="M36" s="189">
        <v>6.6634788959473052</v>
      </c>
      <c r="N36" s="190">
        <f t="shared" si="5"/>
        <v>9.9693526240418606E-2</v>
      </c>
    </row>
    <row r="37" spans="2:15" x14ac:dyDescent="0.25">
      <c r="B37" s="119" t="s">
        <v>86</v>
      </c>
      <c r="C37" s="189" t="s">
        <v>298</v>
      </c>
      <c r="D37" s="190" t="s">
        <v>298</v>
      </c>
      <c r="E37" s="189">
        <v>6.1091594827586206</v>
      </c>
      <c r="F37" s="190" t="str">
        <f t="shared" si="3"/>
        <v>-</v>
      </c>
      <c r="G37" s="189">
        <v>6.9145621238539849</v>
      </c>
      <c r="H37" s="190">
        <f t="shared" si="3"/>
        <v>0.8054026410953643</v>
      </c>
      <c r="I37" s="189">
        <v>7.2361967528426767</v>
      </c>
      <c r="J37" s="190">
        <f t="shared" si="3"/>
        <v>0.32163462898869177</v>
      </c>
      <c r="K37" s="189">
        <v>6.9525761047463179</v>
      </c>
      <c r="L37" s="190">
        <f t="shared" si="4"/>
        <v>-0.28362064809635879</v>
      </c>
      <c r="M37" s="189">
        <v>7.0224923541481168</v>
      </c>
      <c r="N37" s="190">
        <f t="shared" si="5"/>
        <v>6.9916249401798858E-2</v>
      </c>
    </row>
    <row r="38" spans="2:15" x14ac:dyDescent="0.25">
      <c r="B38" s="119" t="s">
        <v>88</v>
      </c>
      <c r="C38" s="189">
        <v>6.7699033918623508</v>
      </c>
      <c r="D38" s="190">
        <v>-0.84570697342019674</v>
      </c>
      <c r="E38" s="189">
        <v>7.0021592156029877</v>
      </c>
      <c r="F38" s="190">
        <f t="shared" si="3"/>
        <v>0.23225582374063691</v>
      </c>
      <c r="G38" s="189">
        <v>7.4149865168853308</v>
      </c>
      <c r="H38" s="190">
        <f t="shared" si="3"/>
        <v>0.41282730128234313</v>
      </c>
      <c r="I38" s="189">
        <v>8.1764714322610264</v>
      </c>
      <c r="J38" s="190">
        <f t="shared" si="3"/>
        <v>0.76148491537569551</v>
      </c>
      <c r="K38" s="189">
        <v>7.0446740210440497</v>
      </c>
      <c r="L38" s="190">
        <f t="shared" si="4"/>
        <v>-1.1317974112169766</v>
      </c>
      <c r="M38" s="189">
        <v>7.0773696391399348</v>
      </c>
      <c r="N38" s="190">
        <f t="shared" si="5"/>
        <v>3.269561809588506E-2</v>
      </c>
    </row>
    <row r="39" spans="2:15" x14ac:dyDescent="0.25">
      <c r="B39" s="119" t="s">
        <v>90</v>
      </c>
      <c r="C39" s="189">
        <v>6.8947068867387591</v>
      </c>
      <c r="D39" s="190">
        <v>-1.0629678866456622</v>
      </c>
      <c r="E39" s="189">
        <v>7.1042353911404339</v>
      </c>
      <c r="F39" s="190">
        <f t="shared" si="3"/>
        <v>0.20952850440167481</v>
      </c>
      <c r="G39" s="189">
        <v>7.2388671511086269</v>
      </c>
      <c r="H39" s="190">
        <f t="shared" si="3"/>
        <v>0.13463175996819299</v>
      </c>
      <c r="I39" s="189">
        <v>7.3095018450184499</v>
      </c>
      <c r="J39" s="190">
        <f t="shared" si="3"/>
        <v>7.0634693909823021E-2</v>
      </c>
      <c r="K39" s="189">
        <v>6.9818143754361479</v>
      </c>
      <c r="L39" s="190">
        <f t="shared" si="4"/>
        <v>-0.32768746958230199</v>
      </c>
      <c r="M39" s="189">
        <v>6.8082126551076998</v>
      </c>
      <c r="N39" s="190">
        <f t="shared" si="5"/>
        <v>-0.17360172032844812</v>
      </c>
    </row>
    <row r="40" spans="2:15" x14ac:dyDescent="0.25">
      <c r="B40" s="119" t="s">
        <v>92</v>
      </c>
      <c r="C40" s="189">
        <v>5.2761385833247658</v>
      </c>
      <c r="D40" s="190">
        <v>-1.9778629671335315</v>
      </c>
      <c r="E40" s="189">
        <v>7.02113875314675</v>
      </c>
      <c r="F40" s="190">
        <f t="shared" si="3"/>
        <v>1.7450001698219841</v>
      </c>
      <c r="G40" s="189">
        <v>6.9094150511672305</v>
      </c>
      <c r="H40" s="190">
        <f t="shared" si="3"/>
        <v>-0.11172370197951942</v>
      </c>
      <c r="I40" s="189">
        <v>6.8764488218969362</v>
      </c>
      <c r="J40" s="190">
        <f t="shared" si="3"/>
        <v>-3.2966229270294356E-2</v>
      </c>
      <c r="K40" s="189">
        <v>6.604651745030294</v>
      </c>
      <c r="L40" s="190">
        <f t="shared" si="4"/>
        <v>-0.27179707686664223</v>
      </c>
      <c r="M40" s="189">
        <v>6.6750599813935265</v>
      </c>
      <c r="N40" s="190">
        <f t="shared" si="5"/>
        <v>7.0408236363232568E-2</v>
      </c>
    </row>
    <row r="41" spans="2:15" x14ac:dyDescent="0.25">
      <c r="B41" s="119" t="s">
        <v>94</v>
      </c>
      <c r="C41" s="189">
        <v>6.9719288865124982</v>
      </c>
      <c r="D41" s="190">
        <v>-0.38722902141500892</v>
      </c>
      <c r="E41" s="189">
        <v>7.2719154918873734</v>
      </c>
      <c r="F41" s="190">
        <f t="shared" si="3"/>
        <v>0.2999866053748752</v>
      </c>
      <c r="G41" s="189">
        <v>7.1666844033628774</v>
      </c>
      <c r="H41" s="190">
        <f t="shared" si="3"/>
        <v>-0.10523108852449603</v>
      </c>
      <c r="I41" s="189">
        <v>6.9762890371997406</v>
      </c>
      <c r="J41" s="190">
        <f t="shared" si="3"/>
        <v>-0.19039536616313679</v>
      </c>
      <c r="K41" s="189">
        <v>6.8853814462281573</v>
      </c>
      <c r="L41" s="190">
        <f t="shared" si="4"/>
        <v>-9.0907590971583296E-2</v>
      </c>
      <c r="M41" s="189">
        <v>6.5581833738870019</v>
      </c>
      <c r="N41" s="190">
        <f t="shared" si="5"/>
        <v>-0.32719807234115539</v>
      </c>
    </row>
    <row r="42" spans="2:15" x14ac:dyDescent="0.25">
      <c r="B42" s="119" t="s">
        <v>96</v>
      </c>
      <c r="C42" s="189">
        <v>6.8524370973623432</v>
      </c>
      <c r="D42" s="190">
        <v>-0.77080001668734699</v>
      </c>
      <c r="E42" s="189">
        <v>7.1127812920147226</v>
      </c>
      <c r="F42" s="190">
        <f t="shared" si="3"/>
        <v>0.26034419465237946</v>
      </c>
      <c r="G42" s="189">
        <v>7.0239810951950288</v>
      </c>
      <c r="H42" s="190">
        <f t="shared" si="3"/>
        <v>-8.8800196819693866E-2</v>
      </c>
      <c r="I42" s="189">
        <v>7.0943493808552764</v>
      </c>
      <c r="J42" s="190">
        <f t="shared" si="3"/>
        <v>7.0368285660247665E-2</v>
      </c>
      <c r="K42" s="189">
        <v>6.7976407417196434</v>
      </c>
      <c r="L42" s="190">
        <f t="shared" si="4"/>
        <v>-0.29670863913563306</v>
      </c>
      <c r="M42" s="189">
        <v>6.9856440570618572</v>
      </c>
      <c r="N42" s="190">
        <f t="shared" si="5"/>
        <v>0.18800331534221382</v>
      </c>
    </row>
    <row r="43" spans="2:15" ht="15.75" x14ac:dyDescent="0.25">
      <c r="B43" s="122" t="s">
        <v>33</v>
      </c>
      <c r="C43" s="191">
        <v>7.5481653488721587</v>
      </c>
      <c r="D43" s="192">
        <v>5.2724969143530309E-2</v>
      </c>
      <c r="E43" s="191">
        <v>6.9248409925647225</v>
      </c>
      <c r="F43" s="192">
        <f t="shared" si="3"/>
        <v>-0.62332435630743621</v>
      </c>
      <c r="G43" s="191">
        <v>6.932464916278767</v>
      </c>
      <c r="H43" s="192">
        <f t="shared" si="3"/>
        <v>7.6239237140445226E-3</v>
      </c>
      <c r="I43" s="191">
        <v>7.1231158536510168</v>
      </c>
      <c r="J43" s="192">
        <f t="shared" si="3"/>
        <v>0.19065093737224981</v>
      </c>
      <c r="K43" s="191">
        <v>6.7966611681152118</v>
      </c>
      <c r="L43" s="192">
        <f t="shared" si="4"/>
        <v>-0.32645468553580503</v>
      </c>
      <c r="M43" s="191">
        <v>6.7122576465583217</v>
      </c>
      <c r="N43" s="192">
        <v>-8.4403521556890126E-2</v>
      </c>
    </row>
    <row r="44" spans="2:15" ht="6" customHeight="1" x14ac:dyDescent="0.25"/>
    <row r="45" spans="2:15" x14ac:dyDescent="0.25">
      <c r="B45" s="107" t="s">
        <v>58</v>
      </c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</row>
    <row r="48" spans="2:15" ht="48.75" customHeight="1" thickBot="1" x14ac:dyDescent="0.3">
      <c r="B48" s="283" t="s">
        <v>312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39"/>
      <c r="N49" s="39"/>
      <c r="O49" s="1" t="s">
        <v>102</v>
      </c>
    </row>
    <row r="50" spans="1:15" ht="22.5" thickTop="1" thickBot="1" x14ac:dyDescent="0.3">
      <c r="B50" s="111"/>
      <c r="C50" s="315" t="s">
        <v>64</v>
      </c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</row>
    <row r="51" spans="1:15" ht="22.5" thickTop="1" thickBot="1" x14ac:dyDescent="0.3">
      <c r="B51" s="111"/>
      <c r="C51" s="307">
        <v>2020</v>
      </c>
      <c r="D51" s="308"/>
      <c r="E51" s="309">
        <v>2021</v>
      </c>
      <c r="F51" s="308"/>
      <c r="G51" s="309">
        <v>2022</v>
      </c>
      <c r="H51" s="308"/>
      <c r="I51" s="309">
        <v>2023</v>
      </c>
      <c r="J51" s="308"/>
      <c r="K51" s="309">
        <v>2024</v>
      </c>
      <c r="L51" s="308"/>
      <c r="M51" s="309">
        <f>M$7</f>
        <v>2025</v>
      </c>
      <c r="N51" s="310"/>
    </row>
    <row r="52" spans="1:15" ht="16.5" thickTop="1" thickBot="1" x14ac:dyDescent="0.3">
      <c r="B52" s="87"/>
      <c r="C52" s="116" t="s">
        <v>72</v>
      </c>
      <c r="D52" s="117" t="str">
        <f>CONCATENATE("dif ",RIGHT(C51,2),"/",RIGHT(C51-1,2))</f>
        <v>dif 20/19</v>
      </c>
      <c r="E52" s="118" t="s">
        <v>72</v>
      </c>
      <c r="F52" s="117" t="str">
        <f>CONCATENATE("dif ",RIGHT(E51,2),"/",RIGHT(C51,2))</f>
        <v>dif 21/20</v>
      </c>
      <c r="G52" s="118" t="s">
        <v>72</v>
      </c>
      <c r="H52" s="117" t="str">
        <f>CONCATENATE("dif ",RIGHT(G51,2),"/",RIGHT(E51,2))</f>
        <v>dif 22/21</v>
      </c>
      <c r="I52" s="118" t="s">
        <v>72</v>
      </c>
      <c r="J52" s="117" t="str">
        <f>CONCATENATE("dif ",RIGHT(I51,2),"/",RIGHT(G51,2))</f>
        <v>dif 23/22</v>
      </c>
      <c r="K52" s="118" t="s">
        <v>72</v>
      </c>
      <c r="L52" s="117" t="str">
        <f>CONCATENATE("dif ",RIGHT(K51,2),"/",RIGHT(I51,2))</f>
        <v>dif 24/23</v>
      </c>
      <c r="M52" s="118" t="s">
        <v>72</v>
      </c>
      <c r="N52" s="117" t="str">
        <f>CONCATENATE("def ",RIGHT(M51,2),"/",RIGHT(K51,2))</f>
        <v>def 25/24</v>
      </c>
    </row>
    <row r="53" spans="1:15" x14ac:dyDescent="0.25">
      <c r="A53" s="1"/>
      <c r="B53" s="119" t="s">
        <v>74</v>
      </c>
      <c r="C53" s="189">
        <v>8.2814146646423143</v>
      </c>
      <c r="D53" s="190">
        <v>0.12898565170045551</v>
      </c>
      <c r="E53" s="189">
        <v>7.0878293601003763</v>
      </c>
      <c r="F53" s="190">
        <f t="shared" ref="F53:J65" si="6">IFERROR(E53-C53,"-")</f>
        <v>-1.193585304541938</v>
      </c>
      <c r="G53" s="189">
        <v>7.283279094994576</v>
      </c>
      <c r="H53" s="190">
        <f t="shared" si="6"/>
        <v>0.1954497348941997</v>
      </c>
      <c r="I53" s="189">
        <v>7.6864420808674421</v>
      </c>
      <c r="J53" s="190">
        <f t="shared" si="6"/>
        <v>0.40316298587286603</v>
      </c>
      <c r="K53" s="189">
        <v>7.4857211519205347</v>
      </c>
      <c r="L53" s="190">
        <f t="shared" ref="L53:L65" si="7">IFERROR(K53-I53,"-")</f>
        <v>-0.20072092894690741</v>
      </c>
      <c r="M53" s="189">
        <v>7.5633170957121125</v>
      </c>
      <c r="N53" s="190">
        <f>IFERROR(M53-K53,"-")</f>
        <v>7.7595943791577859E-2</v>
      </c>
    </row>
    <row r="54" spans="1:15" x14ac:dyDescent="0.25">
      <c r="A54" s="1"/>
      <c r="B54" s="119" t="s">
        <v>76</v>
      </c>
      <c r="C54" s="189">
        <v>7.3425917851225257</v>
      </c>
      <c r="D54" s="190">
        <v>-0.12192981096949129</v>
      </c>
      <c r="E54" s="189">
        <v>5.7094647013188515</v>
      </c>
      <c r="F54" s="190">
        <f t="shared" si="6"/>
        <v>-1.6331270838036742</v>
      </c>
      <c r="G54" s="189">
        <v>6.4920602760541977</v>
      </c>
      <c r="H54" s="190">
        <f t="shared" si="6"/>
        <v>0.78259557473534613</v>
      </c>
      <c r="I54" s="189">
        <v>7.2669387042573153</v>
      </c>
      <c r="J54" s="190">
        <f t="shared" si="6"/>
        <v>0.77487842820311759</v>
      </c>
      <c r="K54" s="189">
        <v>7.0000197816110141</v>
      </c>
      <c r="L54" s="190">
        <f t="shared" si="7"/>
        <v>-0.26691892264630113</v>
      </c>
      <c r="M54" s="189">
        <v>6.5213538483661067</v>
      </c>
      <c r="N54" s="190">
        <f t="shared" ref="N54:N64" si="8">IFERROR(M54-K54,"-")</f>
        <v>-0.47866593324490747</v>
      </c>
    </row>
    <row r="55" spans="1:15" x14ac:dyDescent="0.25">
      <c r="A55" s="1"/>
      <c r="B55" s="119" t="s">
        <v>78</v>
      </c>
      <c r="C55" s="189">
        <v>9.0908874896043717</v>
      </c>
      <c r="D55" s="190">
        <v>2.0465559065794947</v>
      </c>
      <c r="E55" s="189">
        <v>5.8562537048014223</v>
      </c>
      <c r="F55" s="190">
        <f t="shared" si="6"/>
        <v>-3.2346337848029494</v>
      </c>
      <c r="G55" s="189">
        <v>7.2036396114770573</v>
      </c>
      <c r="H55" s="190">
        <f t="shared" si="6"/>
        <v>1.3473859066756351</v>
      </c>
      <c r="I55" s="189">
        <v>7.1145171570139185</v>
      </c>
      <c r="J55" s="190">
        <f t="shared" si="6"/>
        <v>-8.9122454463138823E-2</v>
      </c>
      <c r="K55" s="189">
        <v>6.7351235230934483</v>
      </c>
      <c r="L55" s="190">
        <f t="shared" si="7"/>
        <v>-0.37939363392047021</v>
      </c>
      <c r="M55" s="189">
        <v>6.4809595099203277</v>
      </c>
      <c r="N55" s="190">
        <f t="shared" si="8"/>
        <v>-0.25416401317312065</v>
      </c>
    </row>
    <row r="56" spans="1:15" x14ac:dyDescent="0.25">
      <c r="A56" s="1"/>
      <c r="B56" s="119" t="s">
        <v>80</v>
      </c>
      <c r="C56" s="189" t="s">
        <v>298</v>
      </c>
      <c r="D56" s="190" t="s">
        <v>298</v>
      </c>
      <c r="E56" s="189">
        <v>5.7941063911213169</v>
      </c>
      <c r="F56" s="190" t="str">
        <f t="shared" si="6"/>
        <v>-</v>
      </c>
      <c r="G56" s="189">
        <v>6.7615516848580244</v>
      </c>
      <c r="H56" s="190">
        <f t="shared" si="6"/>
        <v>0.96744529373670751</v>
      </c>
      <c r="I56" s="189">
        <v>6.5643387815750369</v>
      </c>
      <c r="J56" s="190">
        <f t="shared" si="6"/>
        <v>-0.19721290328298746</v>
      </c>
      <c r="K56" s="189">
        <v>6.8152374160575269</v>
      </c>
      <c r="L56" s="190">
        <f t="shared" si="7"/>
        <v>0.25089863448248995</v>
      </c>
      <c r="M56" s="189">
        <v>6.3203728879394054</v>
      </c>
      <c r="N56" s="190">
        <f t="shared" si="8"/>
        <v>-0.49486452811812143</v>
      </c>
    </row>
    <row r="57" spans="1:15" x14ac:dyDescent="0.25">
      <c r="A57" s="1"/>
      <c r="B57" s="119" t="s">
        <v>82</v>
      </c>
      <c r="C57" s="189" t="s">
        <v>298</v>
      </c>
      <c r="D57" s="190" t="s">
        <v>298</v>
      </c>
      <c r="E57" s="189">
        <v>5.5925179856115106</v>
      </c>
      <c r="F57" s="190" t="str">
        <f t="shared" si="6"/>
        <v>-</v>
      </c>
      <c r="G57" s="189">
        <v>6.8496478491710908</v>
      </c>
      <c r="H57" s="190">
        <f t="shared" si="6"/>
        <v>1.2571298635595802</v>
      </c>
      <c r="I57" s="189">
        <v>7.0119574389265056</v>
      </c>
      <c r="J57" s="190">
        <f t="shared" si="6"/>
        <v>0.16230958975541476</v>
      </c>
      <c r="K57" s="189">
        <v>6.5789624370132849</v>
      </c>
      <c r="L57" s="190">
        <f t="shared" si="7"/>
        <v>-0.43299500191322071</v>
      </c>
      <c r="M57" s="189">
        <v>6.2955156950672642</v>
      </c>
      <c r="N57" s="190">
        <f t="shared" si="8"/>
        <v>-0.28344674194602071</v>
      </c>
    </row>
    <row r="58" spans="1:15" x14ac:dyDescent="0.25">
      <c r="A58" s="1"/>
      <c r="B58" s="119" t="s">
        <v>84</v>
      </c>
      <c r="C58" s="189" t="s">
        <v>298</v>
      </c>
      <c r="D58" s="190" t="s">
        <v>298</v>
      </c>
      <c r="E58" s="189">
        <v>6.6948794650712653</v>
      </c>
      <c r="F58" s="190" t="str">
        <f t="shared" si="6"/>
        <v>-</v>
      </c>
      <c r="G58" s="189">
        <v>6.8383665065202468</v>
      </c>
      <c r="H58" s="190">
        <f t="shared" si="6"/>
        <v>0.1434870414489815</v>
      </c>
      <c r="I58" s="189">
        <v>6.9984387351778654</v>
      </c>
      <c r="J58" s="190">
        <f t="shared" si="6"/>
        <v>0.16007222865761861</v>
      </c>
      <c r="K58" s="189">
        <v>6.7373756549472246</v>
      </c>
      <c r="L58" s="190">
        <f t="shared" si="7"/>
        <v>-0.26106308023064084</v>
      </c>
      <c r="M58" s="189">
        <v>6.8076715946006985</v>
      </c>
      <c r="N58" s="190">
        <f t="shared" si="8"/>
        <v>7.0295939653473916E-2</v>
      </c>
    </row>
    <row r="59" spans="1:15" x14ac:dyDescent="0.25">
      <c r="A59" s="1"/>
      <c r="B59" s="119" t="s">
        <v>86</v>
      </c>
      <c r="C59" s="189" t="s">
        <v>298</v>
      </c>
      <c r="D59" s="190" t="s">
        <v>298</v>
      </c>
      <c r="E59" s="189">
        <v>6.3796912263085224</v>
      </c>
      <c r="F59" s="190" t="str">
        <f t="shared" si="6"/>
        <v>-</v>
      </c>
      <c r="G59" s="189">
        <v>6.991737964968971</v>
      </c>
      <c r="H59" s="190">
        <f t="shared" si="6"/>
        <v>0.61204673866044867</v>
      </c>
      <c r="I59" s="189">
        <v>7.3690432348825219</v>
      </c>
      <c r="J59" s="190">
        <f t="shared" si="6"/>
        <v>0.37730526991355084</v>
      </c>
      <c r="K59" s="189">
        <v>7.1010293757221383</v>
      </c>
      <c r="L59" s="190">
        <f t="shared" si="7"/>
        <v>-0.26801385916038356</v>
      </c>
      <c r="M59" s="189">
        <v>7.1746265755111303</v>
      </c>
      <c r="N59" s="190">
        <f t="shared" si="8"/>
        <v>7.3597199788991929E-2</v>
      </c>
    </row>
    <row r="60" spans="1:15" x14ac:dyDescent="0.25">
      <c r="A60" s="1"/>
      <c r="B60" s="119" t="s">
        <v>88</v>
      </c>
      <c r="C60" s="189">
        <v>6.91712158808933</v>
      </c>
      <c r="D60" s="190">
        <v>-0.69382901861731927</v>
      </c>
      <c r="E60" s="189">
        <v>7.1511943302126166</v>
      </c>
      <c r="F60" s="190">
        <f t="shared" si="6"/>
        <v>0.23407274212328666</v>
      </c>
      <c r="G60" s="189">
        <v>7.5181726261604931</v>
      </c>
      <c r="H60" s="190">
        <f t="shared" si="6"/>
        <v>0.36697829594787645</v>
      </c>
      <c r="I60" s="189">
        <v>7.5015812776723596</v>
      </c>
      <c r="J60" s="190">
        <f t="shared" si="6"/>
        <v>-1.6591348488133484E-2</v>
      </c>
      <c r="K60" s="189">
        <v>7.1414037629065676</v>
      </c>
      <c r="L60" s="190">
        <f t="shared" si="7"/>
        <v>-0.36017751476579196</v>
      </c>
      <c r="M60" s="189">
        <v>7.215893175451999</v>
      </c>
      <c r="N60" s="190">
        <f t="shared" si="8"/>
        <v>7.4489412545431399E-2</v>
      </c>
    </row>
    <row r="61" spans="1:15" x14ac:dyDescent="0.25">
      <c r="A61" s="1"/>
      <c r="B61" s="119" t="s">
        <v>90</v>
      </c>
      <c r="C61" s="189">
        <v>7.3037426538818435</v>
      </c>
      <c r="D61" s="190">
        <v>-0.69289897628902519</v>
      </c>
      <c r="E61" s="189">
        <v>6.9833032011060299</v>
      </c>
      <c r="F61" s="190">
        <f t="shared" si="6"/>
        <v>-0.32043945277581365</v>
      </c>
      <c r="G61" s="189">
        <v>7.4246413433322465</v>
      </c>
      <c r="H61" s="190">
        <f t="shared" si="6"/>
        <v>0.44133814222621659</v>
      </c>
      <c r="I61" s="189">
        <v>7.4710882038315667</v>
      </c>
      <c r="J61" s="190">
        <f t="shared" si="6"/>
        <v>4.6446860499320231E-2</v>
      </c>
      <c r="K61" s="189">
        <v>7.140487299118714</v>
      </c>
      <c r="L61" s="190">
        <f t="shared" si="7"/>
        <v>-0.33060090471285264</v>
      </c>
      <c r="M61" s="189">
        <v>6.9508024063264253</v>
      </c>
      <c r="N61" s="190">
        <f t="shared" si="8"/>
        <v>-0.18968489279228873</v>
      </c>
    </row>
    <row r="62" spans="1:15" x14ac:dyDescent="0.25">
      <c r="A62" s="1"/>
      <c r="B62" s="119" t="s">
        <v>92</v>
      </c>
      <c r="C62" s="189">
        <v>5.2754170217947154</v>
      </c>
      <c r="D62" s="190">
        <v>-2.0403952298478858</v>
      </c>
      <c r="E62" s="189">
        <v>6.9548894596825983</v>
      </c>
      <c r="F62" s="190">
        <f t="shared" si="6"/>
        <v>1.6794724378878829</v>
      </c>
      <c r="G62" s="189">
        <v>7.0835261748145992</v>
      </c>
      <c r="H62" s="190">
        <f t="shared" si="6"/>
        <v>0.12863671513200092</v>
      </c>
      <c r="I62" s="189">
        <v>7.0528984464902189</v>
      </c>
      <c r="J62" s="190">
        <f t="shared" si="6"/>
        <v>-3.0627728324380321E-2</v>
      </c>
      <c r="K62" s="189">
        <v>6.7202831579982298</v>
      </c>
      <c r="L62" s="190">
        <f t="shared" si="7"/>
        <v>-0.33261528849198907</v>
      </c>
      <c r="M62" s="189">
        <v>6.7801792142145976</v>
      </c>
      <c r="N62" s="190">
        <f t="shared" si="8"/>
        <v>5.9896056216367732E-2</v>
      </c>
    </row>
    <row r="63" spans="1:15" x14ac:dyDescent="0.25">
      <c r="A63" s="1"/>
      <c r="B63" s="119" t="s">
        <v>94</v>
      </c>
      <c r="C63" s="189">
        <v>6.8962561231630515</v>
      </c>
      <c r="D63" s="190">
        <v>-0.5282741792246668</v>
      </c>
      <c r="E63" s="189">
        <v>7.3202912188598876</v>
      </c>
      <c r="F63" s="190">
        <f t="shared" si="6"/>
        <v>0.42403509569683617</v>
      </c>
      <c r="G63" s="189">
        <v>7.3741335822525871</v>
      </c>
      <c r="H63" s="190">
        <f t="shared" si="6"/>
        <v>5.3842363392699433E-2</v>
      </c>
      <c r="I63" s="189">
        <v>7.2696190820964564</v>
      </c>
      <c r="J63" s="190">
        <f t="shared" si="6"/>
        <v>-0.10451450015613073</v>
      </c>
      <c r="K63" s="189">
        <v>6.7793509562135421</v>
      </c>
      <c r="L63" s="190">
        <f t="shared" si="7"/>
        <v>-0.49026812588291424</v>
      </c>
      <c r="M63" s="189">
        <v>6.777261575403247</v>
      </c>
      <c r="N63" s="190">
        <f t="shared" si="8"/>
        <v>-2.0893808102950828E-3</v>
      </c>
    </row>
    <row r="64" spans="1:15" x14ac:dyDescent="0.25">
      <c r="A64" s="1"/>
      <c r="B64" s="119" t="s">
        <v>96</v>
      </c>
      <c r="C64" s="189">
        <v>6.5346969696969701</v>
      </c>
      <c r="D64" s="190">
        <v>-1.1204747091538154</v>
      </c>
      <c r="E64" s="189">
        <v>7.1775361306012915</v>
      </c>
      <c r="F64" s="190">
        <f t="shared" si="6"/>
        <v>0.64283916090432136</v>
      </c>
      <c r="G64" s="189">
        <v>7.1455098355982134</v>
      </c>
      <c r="H64" s="190">
        <f t="shared" si="6"/>
        <v>-3.2026295003078076E-2</v>
      </c>
      <c r="I64" s="189">
        <v>7.1138220941854309</v>
      </c>
      <c r="J64" s="190">
        <f t="shared" si="6"/>
        <v>-3.1687741412782522E-2</v>
      </c>
      <c r="K64" s="189">
        <v>6.8815392072784221</v>
      </c>
      <c r="L64" s="190">
        <f t="shared" si="7"/>
        <v>-0.23228288690700882</v>
      </c>
      <c r="M64" s="189">
        <v>7.1914625253739581</v>
      </c>
      <c r="N64" s="190">
        <f t="shared" si="8"/>
        <v>0.30992331809553608</v>
      </c>
    </row>
    <row r="65" spans="1:15" ht="15.75" x14ac:dyDescent="0.25">
      <c r="B65" s="122" t="s">
        <v>33</v>
      </c>
      <c r="C65" s="191">
        <v>7.5327249759858939</v>
      </c>
      <c r="D65" s="192">
        <v>5.4294064969136357E-2</v>
      </c>
      <c r="E65" s="191">
        <v>6.9689290896121356</v>
      </c>
      <c r="F65" s="192">
        <f t="shared" si="6"/>
        <v>-0.56379588637375821</v>
      </c>
      <c r="G65" s="191">
        <v>7.0904638739236825</v>
      </c>
      <c r="H65" s="192">
        <f t="shared" si="6"/>
        <v>0.12153478431154685</v>
      </c>
      <c r="I65" s="191">
        <v>7.2027648107247506</v>
      </c>
      <c r="J65" s="192">
        <f t="shared" si="6"/>
        <v>0.11230093680106812</v>
      </c>
      <c r="K65" s="191">
        <v>6.924168578421888</v>
      </c>
      <c r="L65" s="192">
        <f t="shared" si="7"/>
        <v>-0.27859623230286257</v>
      </c>
      <c r="M65" s="191">
        <v>6.839405292148558</v>
      </c>
      <c r="N65" s="192">
        <v>-8.4763286273330074E-2</v>
      </c>
    </row>
    <row r="66" spans="1:15" ht="6" customHeight="1" x14ac:dyDescent="0.25"/>
    <row r="67" spans="1:15" x14ac:dyDescent="0.25">
      <c r="B67" s="107" t="s">
        <v>58</v>
      </c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</row>
    <row r="70" spans="1:15" ht="48.75" customHeight="1" thickBot="1" x14ac:dyDescent="0.3">
      <c r="B70" s="283" t="s">
        <v>313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39"/>
      <c r="N71" s="39"/>
      <c r="O71" s="1" t="s">
        <v>105</v>
      </c>
    </row>
    <row r="72" spans="1:15" ht="22.5" thickTop="1" thickBot="1" x14ac:dyDescent="0.3">
      <c r="B72" s="111"/>
      <c r="C72" s="315" t="s">
        <v>65</v>
      </c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</row>
    <row r="73" spans="1:15" ht="22.5" thickTop="1" thickBot="1" x14ac:dyDescent="0.3">
      <c r="B73" s="111"/>
      <c r="C73" s="307">
        <v>2020</v>
      </c>
      <c r="D73" s="308"/>
      <c r="E73" s="309">
        <v>2021</v>
      </c>
      <c r="F73" s="308"/>
      <c r="G73" s="309">
        <v>2022</v>
      </c>
      <c r="H73" s="308"/>
      <c r="I73" s="309">
        <v>2023</v>
      </c>
      <c r="J73" s="308"/>
      <c r="K73" s="309">
        <v>2024</v>
      </c>
      <c r="L73" s="308"/>
      <c r="M73" s="309">
        <f>M$7</f>
        <v>2025</v>
      </c>
      <c r="N73" s="310"/>
    </row>
    <row r="74" spans="1:15" ht="16.5" thickTop="1" thickBot="1" x14ac:dyDescent="0.3">
      <c r="B74" s="87"/>
      <c r="C74" s="116" t="s">
        <v>72</v>
      </c>
      <c r="D74" s="117" t="str">
        <f>CONCATENATE("dif ",RIGHT(C73,2),"/",RIGHT(C73-1,2))</f>
        <v>dif 20/19</v>
      </c>
      <c r="E74" s="118" t="s">
        <v>72</v>
      </c>
      <c r="F74" s="117" t="str">
        <f>CONCATENATE("dif ",RIGHT(E73,2),"/",RIGHT(C73,2))</f>
        <v>dif 21/20</v>
      </c>
      <c r="G74" s="118" t="s">
        <v>72</v>
      </c>
      <c r="H74" s="117" t="str">
        <f>CONCATENATE("dif ",RIGHT(G73,2),"/",RIGHT(E73,2))</f>
        <v>dif 22/21</v>
      </c>
      <c r="I74" s="118" t="s">
        <v>72</v>
      </c>
      <c r="J74" s="117" t="str">
        <f>CONCATENATE("dif ",RIGHT(I73,2),"/",RIGHT(G73,2))</f>
        <v>dif 23/22</v>
      </c>
      <c r="K74" s="118" t="s">
        <v>72</v>
      </c>
      <c r="L74" s="117" t="str">
        <f>CONCATENATE("dif ",RIGHT(K73,2),"/",RIGHT(I73,2))</f>
        <v>dif 24/23</v>
      </c>
      <c r="M74" s="118" t="s">
        <v>72</v>
      </c>
      <c r="N74" s="117" t="str">
        <f>CONCATENATE("def ",RIGHT(M73,2),"/",RIGHT(K73,2))</f>
        <v>def 25/24</v>
      </c>
    </row>
    <row r="75" spans="1:15" x14ac:dyDescent="0.25">
      <c r="A75" s="1"/>
      <c r="B75" s="119" t="s">
        <v>74</v>
      </c>
      <c r="C75" s="189">
        <v>8.2890048358360904</v>
      </c>
      <c r="D75" s="190">
        <v>0.1025062988429184</v>
      </c>
      <c r="E75" s="189">
        <v>6.8661087866108783</v>
      </c>
      <c r="F75" s="190">
        <f t="shared" ref="F75:J87" si="9">IFERROR(E75-C75,"-")</f>
        <v>-1.4228960492252121</v>
      </c>
      <c r="G75" s="189">
        <v>8.7080301289416564</v>
      </c>
      <c r="H75" s="190">
        <f t="shared" si="9"/>
        <v>1.8419213423307781</v>
      </c>
      <c r="I75" s="189">
        <v>7.8112930170397599</v>
      </c>
      <c r="J75" s="190">
        <f t="shared" si="9"/>
        <v>-0.89673711190189653</v>
      </c>
      <c r="K75" s="189">
        <v>7.3271946486084731</v>
      </c>
      <c r="L75" s="190">
        <f t="shared" ref="L75:L87" si="10">IFERROR(K75-I75,"-")</f>
        <v>-0.48409836843128673</v>
      </c>
      <c r="M75" s="189">
        <v>7.0242859586112534</v>
      </c>
      <c r="N75" s="190">
        <f>IFERROR(M75-K75,"-")</f>
        <v>-0.30290868999721976</v>
      </c>
    </row>
    <row r="76" spans="1:15" x14ac:dyDescent="0.25">
      <c r="A76" s="1"/>
      <c r="B76" s="119" t="s">
        <v>76</v>
      </c>
      <c r="C76" s="189">
        <v>7.5883022712291002</v>
      </c>
      <c r="D76" s="190">
        <v>0.36444986898742737</v>
      </c>
      <c r="E76" s="189">
        <v>4.7457264957264957</v>
      </c>
      <c r="F76" s="190">
        <f t="shared" si="9"/>
        <v>-2.8425757755026044</v>
      </c>
      <c r="G76" s="189">
        <v>6.2548089144987715</v>
      </c>
      <c r="H76" s="190">
        <f t="shared" si="9"/>
        <v>1.5090824187722758</v>
      </c>
      <c r="I76" s="189">
        <v>6.9233999874631733</v>
      </c>
      <c r="J76" s="190">
        <f t="shared" si="9"/>
        <v>0.66859107296440179</v>
      </c>
      <c r="K76" s="189">
        <v>6.3670339921870447</v>
      </c>
      <c r="L76" s="190">
        <f t="shared" si="10"/>
        <v>-0.55636599527612862</v>
      </c>
      <c r="M76" s="189">
        <v>6.4733495201757432</v>
      </c>
      <c r="N76" s="190">
        <f t="shared" ref="N76:N86" si="11">IFERROR(M76-K76,"-")</f>
        <v>0.10631552798869848</v>
      </c>
    </row>
    <row r="77" spans="1:15" x14ac:dyDescent="0.25">
      <c r="A77" s="1"/>
      <c r="B77" s="119" t="s">
        <v>78</v>
      </c>
      <c r="C77" s="189">
        <v>8.6091778732843469</v>
      </c>
      <c r="D77" s="190">
        <v>1.8994552619086118</v>
      </c>
      <c r="E77" s="189">
        <v>4.0150659133709983</v>
      </c>
      <c r="F77" s="190">
        <f t="shared" si="9"/>
        <v>-4.5941119599133486</v>
      </c>
      <c r="G77" s="189">
        <v>6.5926417599089699</v>
      </c>
      <c r="H77" s="190">
        <f t="shared" si="9"/>
        <v>2.5775758465379717</v>
      </c>
      <c r="I77" s="189">
        <v>6.4836573830793487</v>
      </c>
      <c r="J77" s="190">
        <f t="shared" si="9"/>
        <v>-0.10898437682962125</v>
      </c>
      <c r="K77" s="189">
        <v>5.9453685258964146</v>
      </c>
      <c r="L77" s="190">
        <f t="shared" si="10"/>
        <v>-0.53828885718293407</v>
      </c>
      <c r="M77" s="189">
        <v>6.1167604866533507</v>
      </c>
      <c r="N77" s="190">
        <f t="shared" si="11"/>
        <v>0.17139196075693608</v>
      </c>
    </row>
    <row r="78" spans="1:15" x14ac:dyDescent="0.25">
      <c r="A78" s="1"/>
      <c r="B78" s="119" t="s">
        <v>80</v>
      </c>
      <c r="C78" s="189" t="s">
        <v>298</v>
      </c>
      <c r="D78" s="190" t="s">
        <v>298</v>
      </c>
      <c r="E78" s="189">
        <v>8.9120234604105573</v>
      </c>
      <c r="F78" s="190" t="str">
        <f t="shared" si="9"/>
        <v>-</v>
      </c>
      <c r="G78" s="189">
        <v>5.4027884089666482</v>
      </c>
      <c r="H78" s="190">
        <f t="shared" si="9"/>
        <v>-3.509235051443909</v>
      </c>
      <c r="I78" s="189">
        <v>6.2149014440235</v>
      </c>
      <c r="J78" s="190">
        <f t="shared" si="9"/>
        <v>0.81211303505685173</v>
      </c>
      <c r="K78" s="189">
        <v>5.9940852420991595</v>
      </c>
      <c r="L78" s="190">
        <f t="shared" si="10"/>
        <v>-0.22081620192434048</v>
      </c>
      <c r="M78" s="189">
        <v>5.9894432490586338</v>
      </c>
      <c r="N78" s="190">
        <f t="shared" si="11"/>
        <v>-4.6419930405257048E-3</v>
      </c>
    </row>
    <row r="79" spans="1:15" x14ac:dyDescent="0.25">
      <c r="A79" s="1"/>
      <c r="B79" s="119" t="s">
        <v>82</v>
      </c>
      <c r="C79" s="189" t="s">
        <v>298</v>
      </c>
      <c r="D79" s="190" t="s">
        <v>298</v>
      </c>
      <c r="E79" s="189">
        <v>3.222950819672131</v>
      </c>
      <c r="F79" s="190" t="str">
        <f t="shared" si="9"/>
        <v>-</v>
      </c>
      <c r="G79" s="189">
        <v>5.5331055429005316</v>
      </c>
      <c r="H79" s="190">
        <f t="shared" si="9"/>
        <v>2.3101547232284005</v>
      </c>
      <c r="I79" s="189">
        <v>5.9238744290582179</v>
      </c>
      <c r="J79" s="190">
        <f t="shared" si="9"/>
        <v>0.39076888615768635</v>
      </c>
      <c r="K79" s="189">
        <v>5.6744533732012705</v>
      </c>
      <c r="L79" s="190">
        <f t="shared" si="10"/>
        <v>-0.2494210558569474</v>
      </c>
      <c r="M79" s="189">
        <v>5.5714596949891071</v>
      </c>
      <c r="N79" s="190">
        <f t="shared" si="11"/>
        <v>-0.10299367821216343</v>
      </c>
    </row>
    <row r="80" spans="1:15" x14ac:dyDescent="0.25">
      <c r="A80" s="1"/>
      <c r="B80" s="119" t="s">
        <v>84</v>
      </c>
      <c r="C80" s="189" t="s">
        <v>298</v>
      </c>
      <c r="D80" s="190" t="s">
        <v>298</v>
      </c>
      <c r="E80" s="189">
        <v>3.575093532870123</v>
      </c>
      <c r="F80" s="190" t="str">
        <f t="shared" si="9"/>
        <v>-</v>
      </c>
      <c r="G80" s="189">
        <v>5.8430965060397453</v>
      </c>
      <c r="H80" s="190">
        <f t="shared" si="9"/>
        <v>2.2680029731696223</v>
      </c>
      <c r="I80" s="189">
        <v>5.9982021933241443</v>
      </c>
      <c r="J80" s="190">
        <f t="shared" si="9"/>
        <v>0.155105687284399</v>
      </c>
      <c r="K80" s="189">
        <v>6.0618618948292893</v>
      </c>
      <c r="L80" s="190">
        <f t="shared" si="10"/>
        <v>6.3659701505144994E-2</v>
      </c>
      <c r="M80" s="189">
        <v>6.1103558576569368</v>
      </c>
      <c r="N80" s="190">
        <f t="shared" si="11"/>
        <v>4.8493962827647508E-2</v>
      </c>
    </row>
    <row r="81" spans="1:15" x14ac:dyDescent="0.25">
      <c r="A81" s="1"/>
      <c r="B81" s="119" t="s">
        <v>86</v>
      </c>
      <c r="C81" s="189" t="s">
        <v>298</v>
      </c>
      <c r="D81" s="190" t="s">
        <v>298</v>
      </c>
      <c r="E81" s="189">
        <v>4.4676313785224675</v>
      </c>
      <c r="F81" s="190" t="str">
        <f t="shared" si="9"/>
        <v>-</v>
      </c>
      <c r="G81" s="189">
        <v>6.6621021021021019</v>
      </c>
      <c r="H81" s="190">
        <f t="shared" si="9"/>
        <v>2.1944707235796344</v>
      </c>
      <c r="I81" s="189">
        <v>6.7962804878048777</v>
      </c>
      <c r="J81" s="190">
        <f t="shared" si="9"/>
        <v>0.13417838570277585</v>
      </c>
      <c r="K81" s="189">
        <v>6.5121279800550562</v>
      </c>
      <c r="L81" s="190">
        <f t="shared" si="10"/>
        <v>-0.28415250774982148</v>
      </c>
      <c r="M81" s="189">
        <v>6.4269042937781444</v>
      </c>
      <c r="N81" s="190">
        <f t="shared" si="11"/>
        <v>-8.5223686276911792E-2</v>
      </c>
    </row>
    <row r="82" spans="1:15" x14ac:dyDescent="0.25">
      <c r="A82" s="1"/>
      <c r="B82" s="119" t="s">
        <v>88</v>
      </c>
      <c r="C82" s="189">
        <v>6.4086702386751098</v>
      </c>
      <c r="D82" s="190">
        <v>-1.2238003834862337</v>
      </c>
      <c r="E82" s="189">
        <v>6.3704802521787505</v>
      </c>
      <c r="F82" s="190">
        <f t="shared" si="9"/>
        <v>-3.8189986496359296E-2</v>
      </c>
      <c r="G82" s="189">
        <v>7.0882044713553798</v>
      </c>
      <c r="H82" s="190">
        <f t="shared" si="9"/>
        <v>0.71772421917662932</v>
      </c>
      <c r="I82" s="189">
        <v>10.777282540566892</v>
      </c>
      <c r="J82" s="190">
        <f t="shared" si="9"/>
        <v>3.6890780692115124</v>
      </c>
      <c r="K82" s="189">
        <v>6.7445251659436574</v>
      </c>
      <c r="L82" s="190">
        <f t="shared" si="10"/>
        <v>-4.0327573746232348</v>
      </c>
      <c r="M82" s="189">
        <v>6.4775687409551379</v>
      </c>
      <c r="N82" s="190">
        <f t="shared" si="11"/>
        <v>-0.26695642498851946</v>
      </c>
    </row>
    <row r="83" spans="1:15" x14ac:dyDescent="0.25">
      <c r="A83" s="1"/>
      <c r="B83" s="119" t="s">
        <v>90</v>
      </c>
      <c r="C83" s="189">
        <v>5.754204398447607</v>
      </c>
      <c r="D83" s="190">
        <v>-2.0639035339321072</v>
      </c>
      <c r="E83" s="189">
        <v>7.6982413372801668</v>
      </c>
      <c r="F83" s="190">
        <f t="shared" si="9"/>
        <v>1.9440369388325598</v>
      </c>
      <c r="G83" s="189">
        <v>6.6442734150795717</v>
      </c>
      <c r="H83" s="190">
        <f t="shared" si="9"/>
        <v>-1.0539679222005951</v>
      </c>
      <c r="I83" s="189">
        <v>6.783448363198886</v>
      </c>
      <c r="J83" s="190">
        <f t="shared" si="9"/>
        <v>0.1391749481193143</v>
      </c>
      <c r="K83" s="189">
        <v>6.4959179045243225</v>
      </c>
      <c r="L83" s="190">
        <f t="shared" si="10"/>
        <v>-0.2875304586745635</v>
      </c>
      <c r="M83" s="189">
        <v>6.288955340310733</v>
      </c>
      <c r="N83" s="190">
        <f t="shared" si="11"/>
        <v>-0.20696256421358949</v>
      </c>
    </row>
    <row r="84" spans="1:15" x14ac:dyDescent="0.25">
      <c r="A84" s="1"/>
      <c r="B84" s="119" t="s">
        <v>92</v>
      </c>
      <c r="C84" s="189">
        <v>5.2800528401585201</v>
      </c>
      <c r="D84" s="190">
        <v>-1.7638179549996424</v>
      </c>
      <c r="E84" s="189">
        <v>7.2983685220729368</v>
      </c>
      <c r="F84" s="190">
        <f t="shared" si="9"/>
        <v>2.0183156819144168</v>
      </c>
      <c r="G84" s="189">
        <v>6.3252017608217166</v>
      </c>
      <c r="H84" s="190">
        <f t="shared" si="9"/>
        <v>-0.97316676125122026</v>
      </c>
      <c r="I84" s="189">
        <v>6.3279678068410465</v>
      </c>
      <c r="J84" s="190">
        <f t="shared" si="9"/>
        <v>2.7660460193299485E-3</v>
      </c>
      <c r="K84" s="189">
        <v>6.2304592215505359</v>
      </c>
      <c r="L84" s="190">
        <f t="shared" si="10"/>
        <v>-9.7508585290510652E-2</v>
      </c>
      <c r="M84" s="189">
        <v>6.256780642408728</v>
      </c>
      <c r="N84" s="190">
        <f t="shared" si="11"/>
        <v>2.6321420858192113E-2</v>
      </c>
    </row>
    <row r="85" spans="1:15" x14ac:dyDescent="0.25">
      <c r="A85" s="1"/>
      <c r="B85" s="119" t="s">
        <v>94</v>
      </c>
      <c r="C85" s="189">
        <v>7.2169971671388105</v>
      </c>
      <c r="D85" s="190">
        <v>4.2628048874709279E-2</v>
      </c>
      <c r="E85" s="189">
        <v>7.11247143323539</v>
      </c>
      <c r="F85" s="190">
        <f t="shared" si="9"/>
        <v>-0.10452573390342046</v>
      </c>
      <c r="G85" s="189">
        <v>6.4895630753273696</v>
      </c>
      <c r="H85" s="190">
        <f t="shared" si="9"/>
        <v>-0.62290835790802035</v>
      </c>
      <c r="I85" s="189">
        <v>6.2915492957746482</v>
      </c>
      <c r="J85" s="190">
        <f t="shared" si="9"/>
        <v>-0.19801377955272148</v>
      </c>
      <c r="K85" s="189">
        <v>7.2395486496485386</v>
      </c>
      <c r="L85" s="190">
        <f t="shared" si="10"/>
        <v>0.94799935387389045</v>
      </c>
      <c r="M85" s="189">
        <v>5.8315345991804701</v>
      </c>
      <c r="N85" s="190">
        <f t="shared" si="11"/>
        <v>-1.4080140504680685</v>
      </c>
    </row>
    <row r="86" spans="1:15" x14ac:dyDescent="0.25">
      <c r="A86" s="1"/>
      <c r="B86" s="119" t="s">
        <v>96</v>
      </c>
      <c r="C86" s="189">
        <v>8.1413644744929314</v>
      </c>
      <c r="D86" s="190">
        <v>0.60755367174748276</v>
      </c>
      <c r="E86" s="189">
        <v>6.8714315482392161</v>
      </c>
      <c r="F86" s="190">
        <f t="shared" si="9"/>
        <v>-1.2699329262537153</v>
      </c>
      <c r="G86" s="189">
        <v>6.6228119706380575</v>
      </c>
      <c r="H86" s="190">
        <f t="shared" si="9"/>
        <v>-0.2486195776011586</v>
      </c>
      <c r="I86" s="189">
        <v>7.0346608998618372</v>
      </c>
      <c r="J86" s="190">
        <f t="shared" si="9"/>
        <v>0.41184892922377969</v>
      </c>
      <c r="K86" s="189">
        <v>6.551043892816045</v>
      </c>
      <c r="L86" s="190">
        <f t="shared" si="10"/>
        <v>-0.48361700704579214</v>
      </c>
      <c r="M86" s="189">
        <v>6.3150324279201184</v>
      </c>
      <c r="N86" s="190">
        <f t="shared" si="11"/>
        <v>-0.23601146489592661</v>
      </c>
    </row>
    <row r="87" spans="1:15" ht="15.75" x14ac:dyDescent="0.25">
      <c r="B87" s="122" t="s">
        <v>33</v>
      </c>
      <c r="C87" s="191">
        <v>7.5913972552270428</v>
      </c>
      <c r="D87" s="192">
        <v>4.3091121293446832E-2</v>
      </c>
      <c r="E87" s="191">
        <v>6.7455399431638776</v>
      </c>
      <c r="F87" s="192">
        <f t="shared" si="9"/>
        <v>-0.84585731206316517</v>
      </c>
      <c r="G87" s="191">
        <v>6.4269044031474971</v>
      </c>
      <c r="H87" s="192">
        <f t="shared" si="9"/>
        <v>-0.3186355400163805</v>
      </c>
      <c r="I87" s="191">
        <v>6.8814815551752959</v>
      </c>
      <c r="J87" s="192">
        <f t="shared" si="9"/>
        <v>0.4545771520277988</v>
      </c>
      <c r="K87" s="191">
        <v>6.4016317404438521</v>
      </c>
      <c r="L87" s="192">
        <f t="shared" si="10"/>
        <v>-0.47984981473144384</v>
      </c>
      <c r="M87" s="191">
        <v>6.2526003284625427</v>
      </c>
      <c r="N87" s="192">
        <v>-0.14903141198130943</v>
      </c>
    </row>
    <row r="88" spans="1:15" ht="6" customHeight="1" x14ac:dyDescent="0.25"/>
    <row r="89" spans="1:15" x14ac:dyDescent="0.25">
      <c r="B89" s="107" t="s">
        <v>58</v>
      </c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</row>
    <row r="92" spans="1:15" ht="48.75" customHeight="1" thickBot="1" x14ac:dyDescent="0.3">
      <c r="B92" s="283" t="s">
        <v>314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117</v>
      </c>
    </row>
    <row r="93" spans="1:15" ht="10.5" customHeight="1" thickBot="1" x14ac:dyDescent="0.3">
      <c r="B93" s="108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39"/>
      <c r="N93" s="39"/>
      <c r="O93" s="1" t="s">
        <v>118</v>
      </c>
    </row>
    <row r="94" spans="1:15" ht="22.5" thickTop="1" thickBot="1" x14ac:dyDescent="0.3">
      <c r="B94" s="126" t="s">
        <v>99</v>
      </c>
      <c r="C94" s="315" t="s">
        <v>35</v>
      </c>
      <c r="D94" s="316"/>
      <c r="E94" s="316"/>
      <c r="F94" s="316"/>
      <c r="G94" s="316"/>
      <c r="H94" s="316"/>
      <c r="I94" s="316"/>
      <c r="J94" s="316"/>
      <c r="K94" s="316"/>
      <c r="L94" s="316"/>
      <c r="M94" s="316"/>
      <c r="N94" s="316"/>
    </row>
    <row r="95" spans="1:15" ht="22.5" thickTop="1" thickBot="1" x14ac:dyDescent="0.3">
      <c r="B95" s="111"/>
      <c r="C95" s="307">
        <v>2020</v>
      </c>
      <c r="D95" s="308"/>
      <c r="E95" s="309">
        <v>2021</v>
      </c>
      <c r="F95" s="308"/>
      <c r="G95" s="309">
        <v>2022</v>
      </c>
      <c r="H95" s="308"/>
      <c r="I95" s="309">
        <v>2023</v>
      </c>
      <c r="J95" s="308"/>
      <c r="K95" s="309">
        <v>2024</v>
      </c>
      <c r="L95" s="308"/>
      <c r="M95" s="309">
        <f>M$7</f>
        <v>2025</v>
      </c>
      <c r="N95" s="310"/>
    </row>
    <row r="96" spans="1:15" ht="16.5" thickTop="1" thickBot="1" x14ac:dyDescent="0.3">
      <c r="B96" s="87"/>
      <c r="C96" s="116" t="s">
        <v>72</v>
      </c>
      <c r="D96" s="117" t="str">
        <f>CONCATENATE("dif ",RIGHT(C95,2),"/",RIGHT(C95-1,2))</f>
        <v>dif 20/19</v>
      </c>
      <c r="E96" s="118" t="s">
        <v>72</v>
      </c>
      <c r="F96" s="117" t="str">
        <f>CONCATENATE("dif ",RIGHT(E95,2),"/",RIGHT(C95,2))</f>
        <v>dif 21/20</v>
      </c>
      <c r="G96" s="118" t="s">
        <v>72</v>
      </c>
      <c r="H96" s="117" t="str">
        <f>CONCATENATE("dif ",RIGHT(G95,2),"/",RIGHT(E95,2))</f>
        <v>dif 22/21</v>
      </c>
      <c r="I96" s="118" t="s">
        <v>72</v>
      </c>
      <c r="J96" s="117" t="str">
        <f>CONCATENATE("dif ",RIGHT(I95,2),"/",RIGHT(G95,2))</f>
        <v>dif 23/22</v>
      </c>
      <c r="K96" s="118" t="s">
        <v>72</v>
      </c>
      <c r="L96" s="117" t="str">
        <f>CONCATENATE("dif ",RIGHT(K95,2),"/",RIGHT(I95,2))</f>
        <v>dif 24/23</v>
      </c>
      <c r="M96" s="118" t="s">
        <v>72</v>
      </c>
      <c r="N96" s="117" t="str">
        <f>CONCATENATE("def ",RIGHT(M95,2),"/",RIGHT(K95,2))</f>
        <v>def 25/24</v>
      </c>
    </row>
    <row r="97" spans="2:14" x14ac:dyDescent="0.25">
      <c r="B97" s="119" t="s">
        <v>74</v>
      </c>
      <c r="C97" s="189">
        <v>9.2931405721316516</v>
      </c>
      <c r="D97" s="190">
        <v>0.18115288275823715</v>
      </c>
      <c r="E97" s="189">
        <v>6.2457056247894913</v>
      </c>
      <c r="F97" s="190">
        <f t="shared" ref="F97:J109" si="12">IFERROR(E97-C97,"-")</f>
        <v>-3.0474349473421602</v>
      </c>
      <c r="G97" s="189">
        <v>8.3071684805739654</v>
      </c>
      <c r="H97" s="190">
        <f t="shared" si="12"/>
        <v>2.0614628557844741</v>
      </c>
      <c r="I97" s="189">
        <v>8.3011123699660114</v>
      </c>
      <c r="J97" s="190">
        <f t="shared" si="12"/>
        <v>-6.0561106079539684E-3</v>
      </c>
      <c r="K97" s="189">
        <v>9.2936143676727365</v>
      </c>
      <c r="L97" s="190">
        <f t="shared" ref="L97:L109" si="13">IFERROR(K97-I97,"-")</f>
        <v>0.99250199770672509</v>
      </c>
      <c r="M97" s="189">
        <v>9.1721741344195511</v>
      </c>
      <c r="N97" s="190">
        <f>IFERROR(M97-K97,"-")</f>
        <v>-0.12144023325318543</v>
      </c>
    </row>
    <row r="98" spans="2:14" x14ac:dyDescent="0.25">
      <c r="B98" s="119" t="s">
        <v>76</v>
      </c>
      <c r="C98" s="189">
        <v>8.625096479943867</v>
      </c>
      <c r="D98" s="190">
        <v>-0.23021183653225563</v>
      </c>
      <c r="E98" s="189">
        <v>5.2119971771347915</v>
      </c>
      <c r="F98" s="190">
        <f t="shared" si="12"/>
        <v>-3.4130993028090755</v>
      </c>
      <c r="G98" s="189">
        <v>7.5730620891955018</v>
      </c>
      <c r="H98" s="190">
        <f t="shared" si="12"/>
        <v>2.3610649120607103</v>
      </c>
      <c r="I98" s="189">
        <v>8.1789666526378326</v>
      </c>
      <c r="J98" s="190">
        <f t="shared" si="12"/>
        <v>0.60590456344233079</v>
      </c>
      <c r="K98" s="189">
        <v>8.1201311092652038</v>
      </c>
      <c r="L98" s="190">
        <f t="shared" si="13"/>
        <v>-5.8835543372628862E-2</v>
      </c>
      <c r="M98" s="189">
        <v>8.01273552403355</v>
      </c>
      <c r="N98" s="190">
        <f t="shared" ref="N98:N108" si="14">IFERROR(M98-K98,"-")</f>
        <v>-0.10739558523165371</v>
      </c>
    </row>
    <row r="99" spans="2:14" x14ac:dyDescent="0.25">
      <c r="B99" s="119" t="s">
        <v>78</v>
      </c>
      <c r="C99" s="189">
        <v>9.711828834606191</v>
      </c>
      <c r="D99" s="190">
        <v>2.1381565017703155</v>
      </c>
      <c r="E99" s="189">
        <v>5.7293934681181957</v>
      </c>
      <c r="F99" s="190">
        <f t="shared" si="12"/>
        <v>-3.9824353664879952</v>
      </c>
      <c r="G99" s="189">
        <v>7.2856591610677324</v>
      </c>
      <c r="H99" s="190">
        <f t="shared" si="12"/>
        <v>1.5562656929495366</v>
      </c>
      <c r="I99" s="189">
        <v>7.4864847470716951</v>
      </c>
      <c r="J99" s="190">
        <f t="shared" si="12"/>
        <v>0.20082558600396272</v>
      </c>
      <c r="K99" s="189">
        <v>7.895418856522757</v>
      </c>
      <c r="L99" s="190">
        <f t="shared" si="13"/>
        <v>0.4089341094510619</v>
      </c>
      <c r="M99" s="189">
        <v>7.2273906597479618</v>
      </c>
      <c r="N99" s="190">
        <f t="shared" si="14"/>
        <v>-0.66802819677479519</v>
      </c>
    </row>
    <row r="100" spans="2:14" x14ac:dyDescent="0.25">
      <c r="B100" s="119" t="s">
        <v>80</v>
      </c>
      <c r="C100" s="189" t="s">
        <v>298</v>
      </c>
      <c r="D100" s="190" t="s">
        <v>298</v>
      </c>
      <c r="E100" s="189">
        <v>4.7813427832583084</v>
      </c>
      <c r="F100" s="190" t="str">
        <f t="shared" si="12"/>
        <v>-</v>
      </c>
      <c r="G100" s="189">
        <v>6.7759002394614374</v>
      </c>
      <c r="H100" s="190">
        <f t="shared" si="12"/>
        <v>1.994557456203129</v>
      </c>
      <c r="I100" s="189">
        <v>6.817497116232782</v>
      </c>
      <c r="J100" s="190">
        <f t="shared" si="12"/>
        <v>4.1596876771344604E-2</v>
      </c>
      <c r="K100" s="189">
        <v>7.473088004190676</v>
      </c>
      <c r="L100" s="190">
        <f t="shared" si="13"/>
        <v>0.655590887957894</v>
      </c>
      <c r="M100" s="189">
        <v>6.9188518420570828</v>
      </c>
      <c r="N100" s="190">
        <f t="shared" si="14"/>
        <v>-0.55423616213359317</v>
      </c>
    </row>
    <row r="101" spans="2:14" x14ac:dyDescent="0.25">
      <c r="B101" s="119" t="s">
        <v>82</v>
      </c>
      <c r="C101" s="189" t="s">
        <v>298</v>
      </c>
      <c r="D101" s="190" t="s">
        <v>298</v>
      </c>
      <c r="E101" s="189">
        <v>4.397778365511769</v>
      </c>
      <c r="F101" s="190" t="str">
        <f t="shared" si="12"/>
        <v>-</v>
      </c>
      <c r="G101" s="189">
        <v>6.9439102564102564</v>
      </c>
      <c r="H101" s="190">
        <f t="shared" si="12"/>
        <v>2.5461318908984873</v>
      </c>
      <c r="I101" s="189">
        <v>7.2586569343065692</v>
      </c>
      <c r="J101" s="190">
        <f t="shared" si="12"/>
        <v>0.31474667789631283</v>
      </c>
      <c r="K101" s="189">
        <v>7.3748725608744099</v>
      </c>
      <c r="L101" s="190">
        <f t="shared" si="13"/>
        <v>0.11621562656784068</v>
      </c>
      <c r="M101" s="189">
        <v>6.6775582121509505</v>
      </c>
      <c r="N101" s="190">
        <f t="shared" si="14"/>
        <v>-0.69731434872345943</v>
      </c>
    </row>
    <row r="102" spans="2:14" x14ac:dyDescent="0.25">
      <c r="B102" s="119" t="s">
        <v>84</v>
      </c>
      <c r="C102" s="189" t="s">
        <v>298</v>
      </c>
      <c r="D102" s="190" t="s">
        <v>298</v>
      </c>
      <c r="E102" s="189">
        <v>5.0881335981755313</v>
      </c>
      <c r="F102" s="190" t="str">
        <f t="shared" si="12"/>
        <v>-</v>
      </c>
      <c r="G102" s="189">
        <v>7.1152385313686937</v>
      </c>
      <c r="H102" s="190">
        <f t="shared" si="12"/>
        <v>2.0271049331931623</v>
      </c>
      <c r="I102" s="189">
        <v>7.1489987528531422</v>
      </c>
      <c r="J102" s="190">
        <f t="shared" si="12"/>
        <v>3.3760221484448572E-2</v>
      </c>
      <c r="K102" s="189">
        <v>7.5855845256024095</v>
      </c>
      <c r="L102" s="190">
        <f t="shared" si="13"/>
        <v>0.43658577274926724</v>
      </c>
      <c r="M102" s="189">
        <v>7.2946518668012112</v>
      </c>
      <c r="N102" s="190">
        <f t="shared" si="14"/>
        <v>-0.29093265880119823</v>
      </c>
    </row>
    <row r="103" spans="2:14" x14ac:dyDescent="0.25">
      <c r="B103" s="119" t="s">
        <v>86</v>
      </c>
      <c r="C103" s="189" t="s">
        <v>298</v>
      </c>
      <c r="D103" s="190" t="s">
        <v>298</v>
      </c>
      <c r="E103" s="189">
        <v>5.9932805987922091</v>
      </c>
      <c r="F103" s="190" t="str">
        <f t="shared" si="12"/>
        <v>-</v>
      </c>
      <c r="G103" s="189">
        <v>7.5383412868191542</v>
      </c>
      <c r="H103" s="190">
        <f t="shared" si="12"/>
        <v>1.5450606880269451</v>
      </c>
      <c r="I103" s="189">
        <v>8.4821730950141117</v>
      </c>
      <c r="J103" s="190">
        <f t="shared" si="12"/>
        <v>0.94383180819495749</v>
      </c>
      <c r="K103" s="189">
        <v>8.1429656266053208</v>
      </c>
      <c r="L103" s="190">
        <f t="shared" si="13"/>
        <v>-0.3392074684087909</v>
      </c>
      <c r="M103" s="189">
        <v>7.9819047422765399</v>
      </c>
      <c r="N103" s="190">
        <f t="shared" si="14"/>
        <v>-0.16106088432878085</v>
      </c>
    </row>
    <row r="104" spans="2:14" x14ac:dyDescent="0.25">
      <c r="B104" s="119" t="s">
        <v>88</v>
      </c>
      <c r="C104" s="189">
        <v>5.7271688124172782</v>
      </c>
      <c r="D104" s="190">
        <v>-2.9064071460722003</v>
      </c>
      <c r="E104" s="189">
        <v>7.6142005157962602</v>
      </c>
      <c r="F104" s="190">
        <f t="shared" si="12"/>
        <v>1.8870317033789821</v>
      </c>
      <c r="G104" s="189">
        <v>7.8744468190747581</v>
      </c>
      <c r="H104" s="190">
        <f t="shared" si="12"/>
        <v>0.26024630327849785</v>
      </c>
      <c r="I104" s="189">
        <v>8.01108209668174</v>
      </c>
      <c r="J104" s="190">
        <f t="shared" si="12"/>
        <v>0.13663527760698191</v>
      </c>
      <c r="K104" s="189">
        <v>8.0382977830910889</v>
      </c>
      <c r="L104" s="190">
        <f t="shared" si="13"/>
        <v>2.7215686409348905E-2</v>
      </c>
      <c r="M104" s="189">
        <v>7.8116336901286623</v>
      </c>
      <c r="N104" s="190">
        <f t="shared" si="14"/>
        <v>-0.22666409296242662</v>
      </c>
    </row>
    <row r="105" spans="2:14" x14ac:dyDescent="0.25">
      <c r="B105" s="119" t="s">
        <v>90</v>
      </c>
      <c r="C105" s="189">
        <v>4.8131985098456624</v>
      </c>
      <c r="D105" s="190">
        <v>-3.3012043222765666</v>
      </c>
      <c r="E105" s="189">
        <v>7.2469283548747407</v>
      </c>
      <c r="F105" s="190">
        <f t="shared" si="12"/>
        <v>2.4337298450290783</v>
      </c>
      <c r="G105" s="189">
        <v>7.2615313415951048</v>
      </c>
      <c r="H105" s="190">
        <f t="shared" si="12"/>
        <v>1.4602986720364086E-2</v>
      </c>
      <c r="I105" s="189">
        <v>7.6952673050069818</v>
      </c>
      <c r="J105" s="190">
        <f t="shared" si="12"/>
        <v>0.43373596341187692</v>
      </c>
      <c r="K105" s="189">
        <v>7.7831139240506326</v>
      </c>
      <c r="L105" s="190">
        <f t="shared" si="13"/>
        <v>8.7846619043650875E-2</v>
      </c>
      <c r="M105" s="189">
        <v>7.4025051159234527</v>
      </c>
      <c r="N105" s="190">
        <f t="shared" si="14"/>
        <v>-0.3806088081271799</v>
      </c>
    </row>
    <row r="106" spans="2:14" x14ac:dyDescent="0.25">
      <c r="B106" s="119" t="s">
        <v>92</v>
      </c>
      <c r="C106" s="189">
        <v>4.2117686448480791</v>
      </c>
      <c r="D106" s="190">
        <v>-3.7509790793806559</v>
      </c>
      <c r="E106" s="189">
        <v>7.0020037817853416</v>
      </c>
      <c r="F106" s="190">
        <f t="shared" si="12"/>
        <v>2.7902351369372624</v>
      </c>
      <c r="G106" s="189">
        <v>7.3794434384827978</v>
      </c>
      <c r="H106" s="190">
        <f t="shared" si="12"/>
        <v>0.37743965669745627</v>
      </c>
      <c r="I106" s="189">
        <v>7.779149370829983</v>
      </c>
      <c r="J106" s="190">
        <f t="shared" si="12"/>
        <v>0.39970593234718521</v>
      </c>
      <c r="K106" s="189">
        <v>7.5828613151606339</v>
      </c>
      <c r="L106" s="190">
        <f t="shared" si="13"/>
        <v>-0.19628805566934915</v>
      </c>
      <c r="M106" s="189">
        <v>7.2682511339613738</v>
      </c>
      <c r="N106" s="190">
        <f t="shared" si="14"/>
        <v>-0.3146101811992601</v>
      </c>
    </row>
    <row r="107" spans="2:14" x14ac:dyDescent="0.25">
      <c r="B107" s="119" t="s">
        <v>94</v>
      </c>
      <c r="C107" s="189">
        <v>6.5008317622269045</v>
      </c>
      <c r="D107" s="190">
        <v>-1.7350610785046454</v>
      </c>
      <c r="E107" s="189">
        <v>7.7717367009387575</v>
      </c>
      <c r="F107" s="190">
        <f t="shared" si="12"/>
        <v>1.2709049387118529</v>
      </c>
      <c r="G107" s="189">
        <v>7.5624564187645769</v>
      </c>
      <c r="H107" s="190">
        <f t="shared" si="12"/>
        <v>-0.2092802821741806</v>
      </c>
      <c r="I107" s="189">
        <v>8.1975707936803399</v>
      </c>
      <c r="J107" s="190">
        <f t="shared" si="12"/>
        <v>0.63511437491576306</v>
      </c>
      <c r="K107" s="189">
        <v>7.6458898129853425</v>
      </c>
      <c r="L107" s="190">
        <f t="shared" si="13"/>
        <v>-0.55168098069499738</v>
      </c>
      <c r="M107" s="189">
        <v>7.4067534006243019</v>
      </c>
      <c r="N107" s="190">
        <f t="shared" si="14"/>
        <v>-0.23913641236104066</v>
      </c>
    </row>
    <row r="108" spans="2:14" x14ac:dyDescent="0.25">
      <c r="B108" s="119" t="s">
        <v>96</v>
      </c>
      <c r="C108" s="189">
        <v>6.7457202049940026</v>
      </c>
      <c r="D108" s="190">
        <v>-1.5311792913931228</v>
      </c>
      <c r="E108" s="189">
        <v>7.6706188030103934</v>
      </c>
      <c r="F108" s="190">
        <f t="shared" si="12"/>
        <v>0.92489859801639085</v>
      </c>
      <c r="G108" s="189">
        <v>7.6502985407427593</v>
      </c>
      <c r="H108" s="190">
        <f t="shared" si="12"/>
        <v>-2.032026226763417E-2</v>
      </c>
      <c r="I108" s="189">
        <v>8.0025941517806345</v>
      </c>
      <c r="J108" s="190">
        <f t="shared" si="12"/>
        <v>0.35229561103787521</v>
      </c>
      <c r="K108" s="189">
        <v>7.9492459197024994</v>
      </c>
      <c r="L108" s="190">
        <f t="shared" si="13"/>
        <v>-5.3348232078135105E-2</v>
      </c>
      <c r="M108" s="189">
        <v>7.627994416426513</v>
      </c>
      <c r="N108" s="190">
        <f t="shared" si="14"/>
        <v>-0.32125150327598639</v>
      </c>
    </row>
    <row r="109" spans="2:14" ht="15.75" x14ac:dyDescent="0.25">
      <c r="B109" s="122" t="s">
        <v>33</v>
      </c>
      <c r="C109" s="191">
        <v>7.6976565365005385</v>
      </c>
      <c r="D109" s="192">
        <v>-0.41933174623124359</v>
      </c>
      <c r="E109" s="191">
        <v>6.7480053840829859</v>
      </c>
      <c r="F109" s="192">
        <f t="shared" si="12"/>
        <v>-0.9496511524175526</v>
      </c>
      <c r="G109" s="191">
        <v>7.4304103238841659</v>
      </c>
      <c r="H109" s="192">
        <f t="shared" si="12"/>
        <v>0.68240493980118</v>
      </c>
      <c r="I109" s="191">
        <v>7.7809349022994709</v>
      </c>
      <c r="J109" s="192">
        <f t="shared" si="12"/>
        <v>0.35052457841530504</v>
      </c>
      <c r="K109" s="191">
        <v>7.8999954403483574</v>
      </c>
      <c r="L109" s="192">
        <f t="shared" si="13"/>
        <v>0.1190605380488865</v>
      </c>
      <c r="M109" s="191">
        <v>7.5425546365335121</v>
      </c>
      <c r="N109" s="192">
        <v>-0.35744080381484533</v>
      </c>
    </row>
    <row r="110" spans="2:14" ht="6" customHeight="1" x14ac:dyDescent="0.25"/>
    <row r="111" spans="2:14" x14ac:dyDescent="0.25">
      <c r="B111" s="107" t="s">
        <v>58</v>
      </c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</row>
  </sheetData>
  <mergeCells count="40">
    <mergeCell ref="B4:N4"/>
    <mergeCell ref="C6:N6"/>
    <mergeCell ref="C7:D7"/>
    <mergeCell ref="E7:F7"/>
    <mergeCell ref="G7:H7"/>
    <mergeCell ref="I7:J7"/>
    <mergeCell ref="K7:L7"/>
    <mergeCell ref="M7:N7"/>
    <mergeCell ref="B26:N26"/>
    <mergeCell ref="C28:N28"/>
    <mergeCell ref="C29:D29"/>
    <mergeCell ref="E29:F29"/>
    <mergeCell ref="G29:H29"/>
    <mergeCell ref="I29:J29"/>
    <mergeCell ref="K29:L29"/>
    <mergeCell ref="M29:N29"/>
    <mergeCell ref="B48:N48"/>
    <mergeCell ref="C50:N50"/>
    <mergeCell ref="C51:D51"/>
    <mergeCell ref="E51:F51"/>
    <mergeCell ref="G51:H51"/>
    <mergeCell ref="I51:J51"/>
    <mergeCell ref="K51:L51"/>
    <mergeCell ref="M51:N51"/>
    <mergeCell ref="B70:N70"/>
    <mergeCell ref="C72:N72"/>
    <mergeCell ref="C73:D73"/>
    <mergeCell ref="E73:F73"/>
    <mergeCell ref="G73:H73"/>
    <mergeCell ref="I73:J73"/>
    <mergeCell ref="K73:L73"/>
    <mergeCell ref="M73:N73"/>
    <mergeCell ref="B92:N92"/>
    <mergeCell ref="C94:N94"/>
    <mergeCell ref="C95:D95"/>
    <mergeCell ref="E95:F95"/>
    <mergeCell ref="G95:H95"/>
    <mergeCell ref="I95:J95"/>
    <mergeCell ref="K95:L95"/>
    <mergeCell ref="M95:N95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021AD-CE33-447C-9B2C-FD793666FD42}">
  <sheetPr>
    <tabColor rgb="FF7030A0"/>
  </sheetPr>
  <dimension ref="B4:B25"/>
  <sheetViews>
    <sheetView showGridLines="0" workbookViewId="0">
      <selection activeCell="H9" sqref="H9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CC73A-00B5-42C6-9D32-C2B33911BCC6}">
  <sheetPr>
    <tabColor rgb="FFAC75D5"/>
  </sheetPr>
  <dimension ref="A1:AC112"/>
  <sheetViews>
    <sheetView showGridLines="0" zoomScaleNormal="100" workbookViewId="0">
      <selection activeCell="H9" sqref="H9"/>
    </sheetView>
  </sheetViews>
  <sheetFormatPr baseColWidth="10" defaultColWidth="11.42578125" defaultRowHeight="15" x14ac:dyDescent="0.25"/>
  <cols>
    <col min="1" max="1" width="15.28515625" customWidth="1"/>
    <col min="3" max="3" width="15.85546875" bestFit="1" customWidth="1"/>
    <col min="13" max="13" width="14.7109375" bestFit="1" customWidth="1"/>
    <col min="15" max="15" width="14.85546875" customWidth="1"/>
  </cols>
  <sheetData>
    <row r="1" spans="1:16" ht="18.75" x14ac:dyDescent="0.3">
      <c r="C1" s="81"/>
      <c r="D1" s="197" t="s">
        <v>155</v>
      </c>
    </row>
    <row r="2" spans="1:16" ht="18.75" x14ac:dyDescent="0.3">
      <c r="D2" s="197" t="s">
        <v>156</v>
      </c>
    </row>
    <row r="4" spans="1:16" ht="48.75" customHeight="1" thickBot="1" x14ac:dyDescent="0.3">
      <c r="B4" s="283" t="s">
        <v>315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P4" s="1" t="s">
        <v>157</v>
      </c>
    </row>
    <row r="5" spans="1:16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P5" s="1" t="s">
        <v>158</v>
      </c>
    </row>
    <row r="6" spans="1:16" ht="22.5" thickTop="1" thickBot="1" x14ac:dyDescent="0.3">
      <c r="B6" s="111"/>
      <c r="C6" s="305" t="s">
        <v>159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6" ht="22.5" thickTop="1" thickBot="1" x14ac:dyDescent="0.3">
      <c r="B7" s="111"/>
      <c r="C7" s="307">
        <v>2020</v>
      </c>
      <c r="D7" s="308"/>
      <c r="E7" s="309">
        <v>2021</v>
      </c>
      <c r="F7" s="308"/>
      <c r="G7" s="309">
        <v>2022</v>
      </c>
      <c r="H7" s="308"/>
      <c r="I7" s="309">
        <v>2023</v>
      </c>
      <c r="J7" s="308"/>
      <c r="K7" s="309">
        <v>2024</v>
      </c>
      <c r="L7" s="308"/>
      <c r="M7" s="309">
        <v>2025</v>
      </c>
      <c r="N7" s="310"/>
    </row>
    <row r="8" spans="1:16" ht="16.5" thickTop="1" thickBot="1" x14ac:dyDescent="0.3">
      <c r="B8" s="87"/>
      <c r="C8" s="116" t="s">
        <v>72</v>
      </c>
      <c r="D8" s="117" t="str">
        <f>CONCATENATE("dif ",RIGHT(C7,2),"/",RIGHT(C7-1,2))</f>
        <v>dif 20/19</v>
      </c>
      <c r="E8" s="118" t="s">
        <v>72</v>
      </c>
      <c r="F8" s="117" t="str">
        <f>CONCATENATE("dif ",RIGHT(E7,2),"/",RIGHT(C7,2))</f>
        <v>dif 21/20</v>
      </c>
      <c r="G8" s="118" t="s">
        <v>72</v>
      </c>
      <c r="H8" s="117" t="str">
        <f>CONCATENATE("dif ",RIGHT(G7,2),"/",RIGHT(E7,2))</f>
        <v>dif 22/21</v>
      </c>
      <c r="I8" s="118" t="s">
        <v>72</v>
      </c>
      <c r="J8" s="117" t="str">
        <f>CONCATENATE("dif ",RIGHT(I7,2),"/",RIGHT(G7,2))</f>
        <v>dif 23/22</v>
      </c>
      <c r="K8" s="118" t="s">
        <v>72</v>
      </c>
      <c r="L8" s="117" t="str">
        <f>CONCATENATE("dif ",RIGHT(K7,2),"/",RIGHT(I7,2))</f>
        <v>dif 24/23</v>
      </c>
      <c r="M8" s="118" t="s">
        <v>72</v>
      </c>
      <c r="N8" s="117" t="str">
        <f>CONCATENATE("var ",RIGHT(M7,2),"/",RIGHT(K7,2))</f>
        <v>var 25/24</v>
      </c>
    </row>
    <row r="9" spans="1:16" x14ac:dyDescent="0.25">
      <c r="A9" s="1" t="s">
        <v>73</v>
      </c>
      <c r="B9" s="119" t="s">
        <v>74</v>
      </c>
      <c r="C9" s="198">
        <v>0.69230000000000003</v>
      </c>
      <c r="D9" s="121">
        <v>1.748971193415616E-2</v>
      </c>
      <c r="E9" s="198">
        <v>9.5100000000000004E-2</v>
      </c>
      <c r="F9" s="121">
        <f t="shared" ref="F9:L21" si="0">IFERROR(E9/C9-1,"-")</f>
        <v>-0.86263180702007802</v>
      </c>
      <c r="G9" s="198">
        <v>0.5</v>
      </c>
      <c r="H9" s="121">
        <f t="shared" si="0"/>
        <v>4.2576235541535228</v>
      </c>
      <c r="I9" s="198">
        <v>0.66949999999999998</v>
      </c>
      <c r="J9" s="121">
        <f t="shared" si="0"/>
        <v>0.33899999999999997</v>
      </c>
      <c r="K9" s="198">
        <v>0.45750000000000002</v>
      </c>
      <c r="L9" s="121">
        <f t="shared" si="0"/>
        <v>-0.31665421956684092</v>
      </c>
      <c r="M9" s="198">
        <v>0.73430000000000006</v>
      </c>
      <c r="N9" s="121">
        <f t="shared" ref="N9:N20" si="1">IFERROR(M9/K9-1,"-")</f>
        <v>0.60502732240437163</v>
      </c>
    </row>
    <row r="10" spans="1:16" x14ac:dyDescent="0.25">
      <c r="A10" s="1" t="s">
        <v>75</v>
      </c>
      <c r="B10" s="119" t="s">
        <v>76</v>
      </c>
      <c r="C10" s="198">
        <v>0.68569999999999998</v>
      </c>
      <c r="D10" s="121">
        <v>-8.3875632682574031E-3</v>
      </c>
      <c r="E10" s="198">
        <v>0.1361</v>
      </c>
      <c r="F10" s="121">
        <f t="shared" si="0"/>
        <v>-0.80151669826454719</v>
      </c>
      <c r="G10" s="198">
        <v>0.61280000000000001</v>
      </c>
      <c r="H10" s="121">
        <f t="shared" si="0"/>
        <v>3.5025716385011023</v>
      </c>
      <c r="I10" s="198">
        <v>0.74250000000000005</v>
      </c>
      <c r="J10" s="121">
        <f t="shared" si="0"/>
        <v>0.21165143603133174</v>
      </c>
      <c r="K10" s="198">
        <v>0.74719999999999998</v>
      </c>
      <c r="L10" s="121">
        <f t="shared" si="0"/>
        <v>6.3299663299662967E-3</v>
      </c>
      <c r="M10" s="198">
        <v>0.76090000000000002</v>
      </c>
      <c r="N10" s="121">
        <f t="shared" si="1"/>
        <v>1.8335117773019327E-2</v>
      </c>
    </row>
    <row r="11" spans="1:16" x14ac:dyDescent="0.25">
      <c r="A11" s="1" t="s">
        <v>77</v>
      </c>
      <c r="B11" s="119" t="s">
        <v>78</v>
      </c>
      <c r="C11" s="198">
        <v>0.29420000000000002</v>
      </c>
      <c r="D11" s="121">
        <v>-0.5614192009540846</v>
      </c>
      <c r="E11" s="198">
        <v>0.1757</v>
      </c>
      <c r="F11" s="121">
        <f t="shared" si="0"/>
        <v>-0.40278721957851804</v>
      </c>
      <c r="G11" s="198">
        <v>0.65290000000000004</v>
      </c>
      <c r="H11" s="121">
        <f t="shared" si="0"/>
        <v>2.7159931701764375</v>
      </c>
      <c r="I11" s="198">
        <v>0.70920000000000005</v>
      </c>
      <c r="J11" s="121">
        <f t="shared" si="0"/>
        <v>8.6230663194976298E-2</v>
      </c>
      <c r="K11" s="198">
        <v>0.74159999999999993</v>
      </c>
      <c r="L11" s="121">
        <f t="shared" si="0"/>
        <v>4.5685279187817063E-2</v>
      </c>
      <c r="M11" s="198">
        <v>0.72219999999999995</v>
      </c>
      <c r="N11" s="121">
        <f t="shared" si="1"/>
        <v>-2.6159654800431476E-2</v>
      </c>
    </row>
    <row r="12" spans="1:16" x14ac:dyDescent="0.25">
      <c r="A12" s="1" t="s">
        <v>79</v>
      </c>
      <c r="B12" s="119" t="s">
        <v>80</v>
      </c>
      <c r="C12" s="198">
        <v>0</v>
      </c>
      <c r="D12" s="121">
        <v>-1</v>
      </c>
      <c r="E12" s="198">
        <v>0.17579999999999998</v>
      </c>
      <c r="F12" s="121" t="str">
        <f t="shared" si="0"/>
        <v>-</v>
      </c>
      <c r="G12" s="198">
        <v>0.63419999999999999</v>
      </c>
      <c r="H12" s="121">
        <f t="shared" si="0"/>
        <v>2.6075085324232083</v>
      </c>
      <c r="I12" s="198">
        <v>0.66839999999999999</v>
      </c>
      <c r="J12" s="121">
        <f t="shared" si="0"/>
        <v>5.392620624408706E-2</v>
      </c>
      <c r="K12" s="198">
        <v>0.69840000000000002</v>
      </c>
      <c r="L12" s="121">
        <f t="shared" si="0"/>
        <v>4.4883303411131115E-2</v>
      </c>
      <c r="M12" s="198">
        <v>0.67959999999999998</v>
      </c>
      <c r="N12" s="121">
        <f t="shared" si="1"/>
        <v>-2.6918671248568171E-2</v>
      </c>
    </row>
    <row r="13" spans="1:16" x14ac:dyDescent="0.25">
      <c r="A13" s="1" t="s">
        <v>81</v>
      </c>
      <c r="B13" s="119" t="s">
        <v>82</v>
      </c>
      <c r="C13" s="198">
        <v>0</v>
      </c>
      <c r="D13" s="121">
        <v>-1</v>
      </c>
      <c r="E13" s="198">
        <v>0.15710000000000002</v>
      </c>
      <c r="F13" s="121" t="str">
        <f t="shared" si="0"/>
        <v>-</v>
      </c>
      <c r="G13" s="198">
        <v>0.5615</v>
      </c>
      <c r="H13" s="121">
        <f t="shared" si="0"/>
        <v>2.5741565881604069</v>
      </c>
      <c r="I13" s="198">
        <v>0.58719999999999994</v>
      </c>
      <c r="J13" s="121">
        <f t="shared" si="0"/>
        <v>4.5770258236865535E-2</v>
      </c>
      <c r="K13" s="198">
        <v>0.65599999999999992</v>
      </c>
      <c r="L13" s="121">
        <f t="shared" si="0"/>
        <v>0.11716621253406001</v>
      </c>
      <c r="M13" s="198">
        <v>0.64739999999999998</v>
      </c>
      <c r="N13" s="121">
        <f t="shared" si="1"/>
        <v>-1.3109756097560932E-2</v>
      </c>
    </row>
    <row r="14" spans="1:16" x14ac:dyDescent="0.25">
      <c r="A14" s="1" t="s">
        <v>83</v>
      </c>
      <c r="B14" s="119" t="s">
        <v>84</v>
      </c>
      <c r="C14" s="198">
        <v>0</v>
      </c>
      <c r="D14" s="121">
        <v>-1</v>
      </c>
      <c r="E14" s="198">
        <v>0.18729999999999999</v>
      </c>
      <c r="F14" s="121" t="str">
        <f t="shared" si="0"/>
        <v>-</v>
      </c>
      <c r="G14" s="198">
        <v>0.5746</v>
      </c>
      <c r="H14" s="121">
        <f t="shared" si="0"/>
        <v>2.0678056593699949</v>
      </c>
      <c r="I14" s="198">
        <v>0.68279999999999996</v>
      </c>
      <c r="J14" s="121">
        <f t="shared" si="0"/>
        <v>0.18830490776192121</v>
      </c>
      <c r="K14" s="198">
        <v>0.7095999999999999</v>
      </c>
      <c r="L14" s="121">
        <f t="shared" si="0"/>
        <v>3.9250146455770185E-2</v>
      </c>
      <c r="M14" s="198">
        <v>0.72840000000000005</v>
      </c>
      <c r="N14" s="121">
        <f t="shared" si="1"/>
        <v>2.6493799323562772E-2</v>
      </c>
    </row>
    <row r="15" spans="1:16" x14ac:dyDescent="0.25">
      <c r="A15" s="1" t="s">
        <v>85</v>
      </c>
      <c r="B15" s="119" t="s">
        <v>86</v>
      </c>
      <c r="C15" s="198">
        <v>0</v>
      </c>
      <c r="D15" s="121">
        <v>-1</v>
      </c>
      <c r="E15" s="198">
        <v>0.31109999999999999</v>
      </c>
      <c r="F15" s="121" t="str">
        <f t="shared" si="0"/>
        <v>-</v>
      </c>
      <c r="G15" s="198">
        <v>0.70909999999999995</v>
      </c>
      <c r="H15" s="121">
        <f t="shared" si="0"/>
        <v>1.2793314046930249</v>
      </c>
      <c r="I15" s="198">
        <v>0.75840000000000007</v>
      </c>
      <c r="J15" s="121">
        <f t="shared" si="0"/>
        <v>6.9524749682696507E-2</v>
      </c>
      <c r="K15" s="198">
        <v>0.75879999999999992</v>
      </c>
      <c r="L15" s="121">
        <f t="shared" si="0"/>
        <v>5.2742616033740752E-4</v>
      </c>
      <c r="M15" s="198">
        <v>0.81180000000000008</v>
      </c>
      <c r="N15" s="121">
        <f t="shared" si="1"/>
        <v>6.9847127042699242E-2</v>
      </c>
    </row>
    <row r="16" spans="1:16" x14ac:dyDescent="0.25">
      <c r="A16" s="1" t="s">
        <v>87</v>
      </c>
      <c r="B16" s="119" t="s">
        <v>88</v>
      </c>
      <c r="C16" s="198">
        <v>0.32240000000000002</v>
      </c>
      <c r="D16" s="121">
        <v>-0.57595685913455208</v>
      </c>
      <c r="E16" s="198">
        <v>0.45500000000000002</v>
      </c>
      <c r="F16" s="121">
        <f t="shared" si="0"/>
        <v>0.41129032258064502</v>
      </c>
      <c r="G16" s="198">
        <v>0.74010000000000009</v>
      </c>
      <c r="H16" s="121">
        <f t="shared" si="0"/>
        <v>0.62659340659340668</v>
      </c>
      <c r="I16" s="198">
        <v>0.82290000000000008</v>
      </c>
      <c r="J16" s="121">
        <f t="shared" si="0"/>
        <v>0.11187677340899871</v>
      </c>
      <c r="K16" s="198">
        <v>0.79330000000000001</v>
      </c>
      <c r="L16" s="121">
        <f t="shared" si="0"/>
        <v>-3.5970348766557358E-2</v>
      </c>
      <c r="M16" s="198">
        <v>0.79189999999999994</v>
      </c>
      <c r="N16" s="121">
        <f t="shared" si="1"/>
        <v>-1.7647800327745822E-3</v>
      </c>
    </row>
    <row r="17" spans="1:29" x14ac:dyDescent="0.25">
      <c r="A17" s="1" t="s">
        <v>89</v>
      </c>
      <c r="B17" s="119" t="s">
        <v>90</v>
      </c>
      <c r="C17" s="198">
        <v>0.17910000000000001</v>
      </c>
      <c r="D17" s="121">
        <v>-0.72344039530574422</v>
      </c>
      <c r="E17" s="198">
        <v>0.41299999999999998</v>
      </c>
      <c r="F17" s="121">
        <f t="shared" si="0"/>
        <v>1.3059743160245669</v>
      </c>
      <c r="G17" s="198">
        <v>0.63939999999999997</v>
      </c>
      <c r="H17" s="121">
        <f t="shared" si="0"/>
        <v>0.54818401937046013</v>
      </c>
      <c r="I17" s="198">
        <v>0.6966</v>
      </c>
      <c r="J17" s="121">
        <f t="shared" si="0"/>
        <v>8.945886768845801E-2</v>
      </c>
      <c r="K17" s="198">
        <v>0.70640000000000003</v>
      </c>
      <c r="L17" s="121">
        <f t="shared" si="0"/>
        <v>1.4068331897789221E-2</v>
      </c>
      <c r="M17" s="198">
        <v>0.73419999999999996</v>
      </c>
      <c r="N17" s="121">
        <f t="shared" si="1"/>
        <v>3.9354473386183475E-2</v>
      </c>
    </row>
    <row r="18" spans="1:29" x14ac:dyDescent="0.25">
      <c r="A18" s="1" t="s">
        <v>91</v>
      </c>
      <c r="B18" s="119" t="s">
        <v>92</v>
      </c>
      <c r="C18" s="198">
        <v>0.16300000000000001</v>
      </c>
      <c r="D18" s="121">
        <v>-0.74938499384993851</v>
      </c>
      <c r="E18" s="198">
        <v>0.57179999999999997</v>
      </c>
      <c r="F18" s="121">
        <f t="shared" si="0"/>
        <v>2.5079754601226991</v>
      </c>
      <c r="G18" s="198">
        <v>0.66269999999999996</v>
      </c>
      <c r="H18" s="121">
        <f t="shared" si="0"/>
        <v>0.15897166841552979</v>
      </c>
      <c r="I18" s="198">
        <v>0.74870000000000003</v>
      </c>
      <c r="J18" s="121">
        <f t="shared" si="0"/>
        <v>0.12977214425833727</v>
      </c>
      <c r="K18" s="198">
        <v>0.73659999999999992</v>
      </c>
      <c r="L18" s="121">
        <f t="shared" si="0"/>
        <v>-1.6161346333645077E-2</v>
      </c>
      <c r="M18" s="198">
        <v>0.78379999999999994</v>
      </c>
      <c r="N18" s="121">
        <f t="shared" si="1"/>
        <v>6.407819712191154E-2</v>
      </c>
      <c r="AB18" s="199"/>
    </row>
    <row r="19" spans="1:29" x14ac:dyDescent="0.25">
      <c r="A19" s="1" t="s">
        <v>93</v>
      </c>
      <c r="B19" s="119" t="s">
        <v>94</v>
      </c>
      <c r="C19" s="198">
        <v>0.18329999999999999</v>
      </c>
      <c r="D19" s="121">
        <v>-0.72493997599039617</v>
      </c>
      <c r="E19" s="198">
        <v>0.61499999999999999</v>
      </c>
      <c r="F19" s="121">
        <f t="shared" si="0"/>
        <v>2.3551554828150576</v>
      </c>
      <c r="G19" s="198">
        <v>0.66959999999999997</v>
      </c>
      <c r="H19" s="121">
        <f t="shared" si="0"/>
        <v>8.8780487804878128E-2</v>
      </c>
      <c r="I19" s="198">
        <v>0.73970000000000002</v>
      </c>
      <c r="J19" s="121">
        <f t="shared" si="0"/>
        <v>0.10468936678614105</v>
      </c>
      <c r="K19" s="198">
        <v>0.71489999999999998</v>
      </c>
      <c r="L19" s="121">
        <f t="shared" si="0"/>
        <v>-3.3527105583344707E-2</v>
      </c>
      <c r="M19" s="198">
        <v>0.73450000000000004</v>
      </c>
      <c r="N19" s="121">
        <f t="shared" si="1"/>
        <v>2.7416421877185737E-2</v>
      </c>
      <c r="AB19" s="199"/>
      <c r="AC19" s="199"/>
    </row>
    <row r="20" spans="1:29" x14ac:dyDescent="0.25">
      <c r="A20" s="1" t="s">
        <v>95</v>
      </c>
      <c r="B20" s="119" t="s">
        <v>96</v>
      </c>
      <c r="C20" s="198">
        <v>0.18170000000000003</v>
      </c>
      <c r="D20" s="121">
        <v>-0.72953259898779399</v>
      </c>
      <c r="E20" s="198">
        <v>0.51790000000000003</v>
      </c>
      <c r="F20" s="121">
        <f t="shared" si="0"/>
        <v>1.8503026967528893</v>
      </c>
      <c r="G20" s="198">
        <v>0.34520000000000001</v>
      </c>
      <c r="H20" s="121">
        <f t="shared" si="0"/>
        <v>-0.3334620583124156</v>
      </c>
      <c r="I20" s="198">
        <v>0.72120000000000006</v>
      </c>
      <c r="J20" s="121">
        <f t="shared" si="0"/>
        <v>1.0892236384704521</v>
      </c>
      <c r="K20" s="198">
        <v>0.70669999999999999</v>
      </c>
      <c r="L20" s="121">
        <f t="shared" si="0"/>
        <v>-2.0105379922351729E-2</v>
      </c>
      <c r="M20" s="198">
        <v>0.69900000000000007</v>
      </c>
      <c r="N20" s="121">
        <f t="shared" si="1"/>
        <v>-1.0895712466392982E-2</v>
      </c>
      <c r="O20" s="127"/>
    </row>
    <row r="21" spans="1:29" ht="15.75" x14ac:dyDescent="0.25">
      <c r="A21" s="1" t="s">
        <v>0</v>
      </c>
      <c r="B21" s="122" t="s">
        <v>33</v>
      </c>
      <c r="C21" s="200">
        <v>0.41641203353334449</v>
      </c>
      <c r="D21" s="124">
        <v>-0.38027305715035786</v>
      </c>
      <c r="E21" s="200">
        <v>0.38237984856351559</v>
      </c>
      <c r="F21" s="124">
        <f t="shared" si="0"/>
        <v>-8.1727189008104717E-2</v>
      </c>
      <c r="G21" s="200">
        <v>0.58966570828384113</v>
      </c>
      <c r="H21" s="124">
        <f t="shared" si="0"/>
        <v>0.54209409962118893</v>
      </c>
      <c r="I21" s="200">
        <v>0.7120968992437916</v>
      </c>
      <c r="J21" s="124">
        <f t="shared" si="0"/>
        <v>0.20762813444972639</v>
      </c>
      <c r="K21" s="200">
        <v>0.69114669074227841</v>
      </c>
      <c r="L21" s="124">
        <f t="shared" si="0"/>
        <v>-2.9420446183323068E-2</v>
      </c>
      <c r="M21" s="200">
        <v>0.73569515745498237</v>
      </c>
      <c r="N21" s="124">
        <f>IFERROR(M21/K21-1,"-")</f>
        <v>6.4455877904674219E-2</v>
      </c>
      <c r="O21" s="317"/>
    </row>
    <row r="22" spans="1:29" ht="6" customHeight="1" x14ac:dyDescent="0.25">
      <c r="O22" s="317"/>
    </row>
    <row r="23" spans="1:29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317"/>
    </row>
    <row r="24" spans="1:29" x14ac:dyDescent="0.25">
      <c r="C24" s="201"/>
      <c r="K24" s="201"/>
      <c r="M24" s="201"/>
      <c r="N24" s="121"/>
      <c r="O24" s="317"/>
    </row>
    <row r="25" spans="1:29" x14ac:dyDescent="0.25">
      <c r="B25" t="s">
        <v>12</v>
      </c>
    </row>
    <row r="26" spans="1:29" ht="21.75" customHeight="1" thickBot="1" x14ac:dyDescent="0.3">
      <c r="B26" s="283" t="s">
        <v>316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P26" s="1" t="s">
        <v>160</v>
      </c>
    </row>
    <row r="27" spans="1:29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P27" s="1" t="s">
        <v>161</v>
      </c>
    </row>
    <row r="28" spans="1:29" ht="22.5" thickTop="1" thickBot="1" x14ac:dyDescent="0.3">
      <c r="B28" s="111"/>
      <c r="C28" s="305" t="s">
        <v>63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29" ht="22.5" thickTop="1" thickBot="1" x14ac:dyDescent="0.3">
      <c r="B29" s="111"/>
      <c r="C29" s="112">
        <f>C$7</f>
        <v>2020</v>
      </c>
      <c r="D29" s="113"/>
      <c r="E29" s="112">
        <f>E$7</f>
        <v>2021</v>
      </c>
      <c r="F29" s="113"/>
      <c r="G29" s="112">
        <f>G$7</f>
        <v>2022</v>
      </c>
      <c r="H29" s="113"/>
      <c r="I29" s="112">
        <f>I$7</f>
        <v>2023</v>
      </c>
      <c r="J29" s="113"/>
      <c r="K29" s="112">
        <f>K$7</f>
        <v>2024</v>
      </c>
      <c r="L29" s="113"/>
      <c r="M29" s="114">
        <f>M$7</f>
        <v>2025</v>
      </c>
      <c r="N29" s="115"/>
    </row>
    <row r="30" spans="1:29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",RIGHT(E29,2),"/",RIGHT(C29,2))</f>
        <v>var 21/20</v>
      </c>
      <c r="G30" s="118" t="s">
        <v>72</v>
      </c>
      <c r="H30" s="117" t="str">
        <f>CONCATENATE("var ",RIGHT(G29,2),"/",RIGHT(E29,2))</f>
        <v>var 22/21</v>
      </c>
      <c r="I30" s="118" t="s">
        <v>72</v>
      </c>
      <c r="J30" s="117" t="str">
        <f>CONCATENATE("var ",RIGHT(I29,2),"/",RIGHT(G29,2))</f>
        <v>var 23/22</v>
      </c>
      <c r="K30" s="118" t="s">
        <v>72</v>
      </c>
      <c r="L30" s="117" t="str">
        <f>CONCATENATE("var ",RIGHT(K29,2),"/",RIGHT(I29,2))</f>
        <v>var 24/23</v>
      </c>
      <c r="M30" s="118" t="s">
        <v>72</v>
      </c>
      <c r="N30" s="117" t="str">
        <f>CONCATENATE("var ",RIGHT(M29,2),"/",RIGHT(K29,2))</f>
        <v>var 25/24</v>
      </c>
    </row>
    <row r="31" spans="1:29" x14ac:dyDescent="0.25">
      <c r="B31" s="119" t="s">
        <v>74</v>
      </c>
      <c r="C31" s="198">
        <v>0.74340000000000006</v>
      </c>
      <c r="D31" s="121"/>
      <c r="E31" s="198">
        <v>7.5199999999999989E-2</v>
      </c>
      <c r="F31" s="121">
        <f t="shared" ref="F31:J43" si="2">IFERROR(E31/C31-1,"-")</f>
        <v>-0.89884315308044127</v>
      </c>
      <c r="G31" s="198">
        <v>0.4824</v>
      </c>
      <c r="H31" s="121">
        <f t="shared" si="2"/>
        <v>5.4148936170212778</v>
      </c>
      <c r="I31" s="198">
        <v>0.72840000000000005</v>
      </c>
      <c r="J31" s="121">
        <f t="shared" si="2"/>
        <v>0.50995024875621908</v>
      </c>
      <c r="K31" s="198">
        <v>0.71640000000000004</v>
      </c>
      <c r="L31" s="121">
        <f t="shared" ref="L31:L43" si="3">IFERROR(K31/I31-1,"-")</f>
        <v>-1.6474464579901205E-2</v>
      </c>
      <c r="M31" s="198">
        <v>0.747</v>
      </c>
      <c r="N31" s="121">
        <f t="shared" ref="N31:N42" si="4">IFERROR(M31/K31-1,"-")</f>
        <v>4.2713567839195887E-2</v>
      </c>
    </row>
    <row r="32" spans="1:29" x14ac:dyDescent="0.25">
      <c r="B32" s="119" t="s">
        <v>76</v>
      </c>
      <c r="C32" s="198">
        <v>0.73480000000000001</v>
      </c>
      <c r="D32" s="121"/>
      <c r="E32" s="198">
        <v>0.17859999999999998</v>
      </c>
      <c r="F32" s="121">
        <f t="shared" si="2"/>
        <v>-0.75694066412629291</v>
      </c>
      <c r="G32" s="198">
        <v>0.61399999999999999</v>
      </c>
      <c r="H32" s="121">
        <f t="shared" si="2"/>
        <v>2.4378499440089589</v>
      </c>
      <c r="I32" s="198">
        <v>0.80059999999999998</v>
      </c>
      <c r="J32" s="121">
        <f t="shared" si="2"/>
        <v>0.30390879478827371</v>
      </c>
      <c r="K32" s="198">
        <v>0.76670000000000005</v>
      </c>
      <c r="L32" s="121">
        <f t="shared" si="3"/>
        <v>-4.2343242568073869E-2</v>
      </c>
      <c r="M32" s="198">
        <v>0.7743000000000001</v>
      </c>
      <c r="N32" s="121">
        <f t="shared" si="4"/>
        <v>9.9126124951089967E-3</v>
      </c>
    </row>
    <row r="33" spans="2:16" x14ac:dyDescent="0.25">
      <c r="B33" s="119" t="s">
        <v>78</v>
      </c>
      <c r="C33" s="198">
        <v>0.31909999999999999</v>
      </c>
      <c r="D33" s="121"/>
      <c r="E33" s="198">
        <v>0.36119999999999997</v>
      </c>
      <c r="F33" s="121">
        <f t="shared" si="2"/>
        <v>0.13193356314634896</v>
      </c>
      <c r="G33" s="198">
        <v>0.68430000000000002</v>
      </c>
      <c r="H33" s="121">
        <f t="shared" si="2"/>
        <v>0.89451827242524939</v>
      </c>
      <c r="I33" s="198">
        <v>0.76540000000000008</v>
      </c>
      <c r="J33" s="121">
        <f t="shared" si="2"/>
        <v>0.11851527107993576</v>
      </c>
      <c r="K33" s="198">
        <v>0.76760000000000006</v>
      </c>
      <c r="L33" s="121">
        <f t="shared" si="3"/>
        <v>2.8743140841389625E-3</v>
      </c>
      <c r="M33" s="198">
        <v>0.7409</v>
      </c>
      <c r="N33" s="121">
        <f t="shared" si="4"/>
        <v>-3.4783741532047996E-2</v>
      </c>
    </row>
    <row r="34" spans="2:16" x14ac:dyDescent="0.25">
      <c r="B34" s="119" t="s">
        <v>80</v>
      </c>
      <c r="C34" s="198">
        <v>0</v>
      </c>
      <c r="D34" s="121"/>
      <c r="E34" s="198">
        <v>0.36180000000000001</v>
      </c>
      <c r="F34" s="121" t="str">
        <f t="shared" si="2"/>
        <v>-</v>
      </c>
      <c r="G34" s="198">
        <v>0.66879999999999995</v>
      </c>
      <c r="H34" s="121">
        <f t="shared" si="2"/>
        <v>0.84853510226644535</v>
      </c>
      <c r="I34" s="198">
        <v>0.74760000000000004</v>
      </c>
      <c r="J34" s="121">
        <f t="shared" si="2"/>
        <v>0.11782296650717727</v>
      </c>
      <c r="K34" s="198">
        <v>0.71609999999999996</v>
      </c>
      <c r="L34" s="121">
        <f t="shared" si="3"/>
        <v>-4.2134831460674316E-2</v>
      </c>
      <c r="M34" s="198">
        <v>0.66430000000000011</v>
      </c>
      <c r="N34" s="121">
        <f t="shared" si="4"/>
        <v>-7.2336265884652806E-2</v>
      </c>
    </row>
    <row r="35" spans="2:16" x14ac:dyDescent="0.25">
      <c r="B35" s="119" t="s">
        <v>82</v>
      </c>
      <c r="C35" s="198">
        <v>0</v>
      </c>
      <c r="D35" s="121"/>
      <c r="E35" s="198">
        <v>0.23989999999999997</v>
      </c>
      <c r="F35" s="121" t="str">
        <f t="shared" si="2"/>
        <v>-</v>
      </c>
      <c r="G35" s="198">
        <v>0.61009999999999998</v>
      </c>
      <c r="H35" s="121">
        <f t="shared" si="2"/>
        <v>1.5431429762401003</v>
      </c>
      <c r="I35" s="198">
        <v>0.68819999999999992</v>
      </c>
      <c r="J35" s="121">
        <f t="shared" si="2"/>
        <v>0.12801180134404189</v>
      </c>
      <c r="K35" s="198">
        <v>0.67500000000000004</v>
      </c>
      <c r="L35" s="121">
        <f t="shared" si="3"/>
        <v>-1.9180470793373816E-2</v>
      </c>
      <c r="M35" s="198">
        <v>0.68510000000000004</v>
      </c>
      <c r="N35" s="121">
        <f t="shared" si="4"/>
        <v>1.4962962962963067E-2</v>
      </c>
    </row>
    <row r="36" spans="2:16" x14ac:dyDescent="0.25">
      <c r="B36" s="119" t="s">
        <v>84</v>
      </c>
      <c r="C36" s="198">
        <v>0</v>
      </c>
      <c r="D36" s="121"/>
      <c r="E36" s="198">
        <v>0.20010000000000003</v>
      </c>
      <c r="F36" s="121" t="str">
        <f t="shared" si="2"/>
        <v>-</v>
      </c>
      <c r="G36" s="198">
        <v>0.63009999999999999</v>
      </c>
      <c r="H36" s="121">
        <f t="shared" si="2"/>
        <v>2.148925537231384</v>
      </c>
      <c r="I36" s="198">
        <v>0.7591</v>
      </c>
      <c r="J36" s="121">
        <f t="shared" si="2"/>
        <v>0.20472940803047135</v>
      </c>
      <c r="K36" s="198">
        <v>0.74480000000000002</v>
      </c>
      <c r="L36" s="121">
        <f t="shared" si="3"/>
        <v>-1.8838097747332361E-2</v>
      </c>
      <c r="M36" s="198">
        <v>0.77500000000000002</v>
      </c>
      <c r="N36" s="121">
        <f t="shared" si="4"/>
        <v>4.0547798066595142E-2</v>
      </c>
    </row>
    <row r="37" spans="2:16" x14ac:dyDescent="0.25">
      <c r="B37" s="119" t="s">
        <v>86</v>
      </c>
      <c r="C37" s="198">
        <v>0</v>
      </c>
      <c r="D37" s="121"/>
      <c r="E37" s="198">
        <v>0.2979</v>
      </c>
      <c r="F37" s="121" t="str">
        <f t="shared" si="2"/>
        <v>-</v>
      </c>
      <c r="G37" s="198">
        <v>0.73349999999999993</v>
      </c>
      <c r="H37" s="121">
        <f t="shared" si="2"/>
        <v>1.4622356495468276</v>
      </c>
      <c r="I37" s="198">
        <v>0.8276</v>
      </c>
      <c r="J37" s="121">
        <f t="shared" si="2"/>
        <v>0.12828902522154073</v>
      </c>
      <c r="K37" s="198">
        <v>0.78220000000000001</v>
      </c>
      <c r="L37" s="121">
        <f t="shared" si="3"/>
        <v>-5.4857419043015998E-2</v>
      </c>
      <c r="M37" s="198">
        <v>0.84400000000000008</v>
      </c>
      <c r="N37" s="121">
        <f t="shared" si="4"/>
        <v>7.9007926361544412E-2</v>
      </c>
    </row>
    <row r="38" spans="2:16" x14ac:dyDescent="0.25">
      <c r="B38" s="119" t="s">
        <v>88</v>
      </c>
      <c r="C38" s="198">
        <v>0.39679999999999999</v>
      </c>
      <c r="D38" s="121"/>
      <c r="E38" s="198">
        <v>0.48670000000000002</v>
      </c>
      <c r="F38" s="121">
        <f t="shared" si="2"/>
        <v>0.2265625</v>
      </c>
      <c r="G38" s="198">
        <v>0.79159999999999997</v>
      </c>
      <c r="H38" s="121">
        <f t="shared" si="2"/>
        <v>0.62646394082597068</v>
      </c>
      <c r="I38" s="198">
        <v>0.92049999999999998</v>
      </c>
      <c r="J38" s="121">
        <f t="shared" si="2"/>
        <v>0.162834765032845</v>
      </c>
      <c r="K38" s="198">
        <v>0.81459999999999999</v>
      </c>
      <c r="L38" s="121">
        <f t="shared" si="3"/>
        <v>-0.11504617055947852</v>
      </c>
      <c r="M38" s="198">
        <v>0.84900000000000009</v>
      </c>
      <c r="N38" s="121">
        <f t="shared" si="4"/>
        <v>4.2229315001227619E-2</v>
      </c>
    </row>
    <row r="39" spans="2:16" x14ac:dyDescent="0.25">
      <c r="B39" s="119" t="s">
        <v>90</v>
      </c>
      <c r="C39" s="198">
        <v>0.24129999999999999</v>
      </c>
      <c r="D39" s="121"/>
      <c r="E39" s="198">
        <v>0.43729999999999997</v>
      </c>
      <c r="F39" s="121">
        <f t="shared" si="2"/>
        <v>0.8122668876916701</v>
      </c>
      <c r="G39" s="198">
        <v>0.71860000000000002</v>
      </c>
      <c r="H39" s="121">
        <f t="shared" si="2"/>
        <v>0.64326549279670719</v>
      </c>
      <c r="I39" s="198">
        <v>0.77829999999999999</v>
      </c>
      <c r="J39" s="121">
        <f t="shared" si="2"/>
        <v>8.3078207625939315E-2</v>
      </c>
      <c r="K39" s="198">
        <v>0.76139999999999997</v>
      </c>
      <c r="L39" s="121">
        <f t="shared" si="3"/>
        <v>-2.1713992033920104E-2</v>
      </c>
      <c r="M39" s="198">
        <v>0.77910000000000001</v>
      </c>
      <c r="N39" s="121">
        <f t="shared" si="4"/>
        <v>2.3246650906225463E-2</v>
      </c>
    </row>
    <row r="40" spans="2:16" x14ac:dyDescent="0.25">
      <c r="B40" s="119" t="s">
        <v>92</v>
      </c>
      <c r="C40" s="198">
        <v>0.1978</v>
      </c>
      <c r="D40" s="121"/>
      <c r="E40" s="198">
        <v>0.65159999999999996</v>
      </c>
      <c r="F40" s="121">
        <f t="shared" si="2"/>
        <v>2.294236602628918</v>
      </c>
      <c r="G40" s="198">
        <v>0.73419999999999996</v>
      </c>
      <c r="H40" s="121">
        <f t="shared" si="2"/>
        <v>0.12676488643339479</v>
      </c>
      <c r="I40" s="198">
        <v>0.8165</v>
      </c>
      <c r="J40" s="121">
        <f t="shared" si="2"/>
        <v>0.11209479705802239</v>
      </c>
      <c r="K40" s="198">
        <v>0.7772</v>
      </c>
      <c r="L40" s="121">
        <f t="shared" si="3"/>
        <v>-4.8132271892222911E-2</v>
      </c>
      <c r="M40" s="198">
        <v>0.8456999999999999</v>
      </c>
      <c r="N40" s="121">
        <f t="shared" si="4"/>
        <v>8.813690169840438E-2</v>
      </c>
    </row>
    <row r="41" spans="2:16" x14ac:dyDescent="0.25">
      <c r="B41" s="119" t="s">
        <v>94</v>
      </c>
      <c r="C41" s="198">
        <v>0.20780000000000001</v>
      </c>
      <c r="D41" s="121"/>
      <c r="E41" s="198">
        <v>0.66430000000000011</v>
      </c>
      <c r="F41" s="121">
        <f t="shared" si="2"/>
        <v>2.1968238691049091</v>
      </c>
      <c r="G41" s="198">
        <v>0.72659999999999991</v>
      </c>
      <c r="H41" s="121">
        <f t="shared" si="2"/>
        <v>9.3782929399367498E-2</v>
      </c>
      <c r="I41" s="198">
        <v>0.78749999999999998</v>
      </c>
      <c r="J41" s="121">
        <f t="shared" si="2"/>
        <v>8.3815028901734312E-2</v>
      </c>
      <c r="K41" s="198">
        <v>0.73769999999999991</v>
      </c>
      <c r="L41" s="121">
        <f t="shared" si="3"/>
        <v>-6.3238095238095315E-2</v>
      </c>
      <c r="M41" s="198">
        <v>0.78620000000000001</v>
      </c>
      <c r="N41" s="121">
        <f t="shared" si="4"/>
        <v>6.5744882743662858E-2</v>
      </c>
    </row>
    <row r="42" spans="2:16" x14ac:dyDescent="0.25">
      <c r="B42" s="119" t="s">
        <v>96</v>
      </c>
      <c r="C42" s="198">
        <v>0.19519999999999998</v>
      </c>
      <c r="D42" s="121"/>
      <c r="E42" s="198">
        <v>0.54210000000000003</v>
      </c>
      <c r="F42" s="121">
        <f t="shared" si="2"/>
        <v>1.7771516393442628</v>
      </c>
      <c r="G42" s="198">
        <v>0.71829999999999994</v>
      </c>
      <c r="H42" s="121">
        <f t="shared" si="2"/>
        <v>0.3250322818668141</v>
      </c>
      <c r="I42" s="198">
        <v>0.77560000000000007</v>
      </c>
      <c r="J42" s="121">
        <f t="shared" si="2"/>
        <v>7.9771683140749117E-2</v>
      </c>
      <c r="K42" s="198">
        <v>0.7198</v>
      </c>
      <c r="L42" s="121">
        <f t="shared" si="3"/>
        <v>-7.1944301186178561E-2</v>
      </c>
      <c r="M42" s="198">
        <v>0.71849999999999992</v>
      </c>
      <c r="N42" s="121">
        <f t="shared" si="4"/>
        <v>-1.8060572381217721E-3</v>
      </c>
    </row>
    <row r="43" spans="2:16" ht="15.75" x14ac:dyDescent="0.25">
      <c r="B43" s="122" t="s">
        <v>33</v>
      </c>
      <c r="C43" s="200">
        <v>0.47595609055413801</v>
      </c>
      <c r="D43" s="124"/>
      <c r="E43" s="202">
        <v>0.46630368359626001</v>
      </c>
      <c r="F43" s="124">
        <f t="shared" si="2"/>
        <v>-2.0280036645061283E-2</v>
      </c>
      <c r="G43" s="202">
        <v>0.67828567936803452</v>
      </c>
      <c r="H43" s="124">
        <f t="shared" si="2"/>
        <v>0.45460073173111581</v>
      </c>
      <c r="I43" s="200">
        <v>0.78267164381948651</v>
      </c>
      <c r="J43" s="124">
        <f t="shared" si="2"/>
        <v>0.15389675416516146</v>
      </c>
      <c r="K43" s="200">
        <v>0.74871629285684138</v>
      </c>
      <c r="L43" s="124">
        <f t="shared" si="3"/>
        <v>-4.338390336583664E-2</v>
      </c>
      <c r="M43" s="200">
        <v>0.76744250035763473</v>
      </c>
      <c r="N43" s="124">
        <f>IFERROR(M43/K43-1,"-")</f>
        <v>2.5011085880528361E-2</v>
      </c>
    </row>
    <row r="44" spans="2:16" ht="6" customHeight="1" x14ac:dyDescent="0.25"/>
    <row r="45" spans="2:16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6" x14ac:dyDescent="0.25">
      <c r="C46" s="201"/>
      <c r="K46" s="201"/>
      <c r="L46" s="201"/>
    </row>
    <row r="48" spans="2:16" ht="21.75" customHeight="1" thickBot="1" x14ac:dyDescent="0.3">
      <c r="B48" s="283" t="s">
        <v>317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P48" s="1" t="s">
        <v>162</v>
      </c>
    </row>
    <row r="49" spans="2:16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P49" s="1" t="s">
        <v>163</v>
      </c>
    </row>
    <row r="50" spans="2:16" ht="22.5" thickTop="1" thickBot="1" x14ac:dyDescent="0.3">
      <c r="B50" s="111"/>
      <c r="C50" s="305" t="s">
        <v>64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2:16" ht="22.5" thickTop="1" thickBot="1" x14ac:dyDescent="0.3">
      <c r="B51" s="111"/>
      <c r="C51" s="112">
        <f>C$7</f>
        <v>2020</v>
      </c>
      <c r="D51" s="113"/>
      <c r="E51" s="112">
        <f>E$7</f>
        <v>2021</v>
      </c>
      <c r="F51" s="113"/>
      <c r="G51" s="112">
        <f>G$7</f>
        <v>2022</v>
      </c>
      <c r="H51" s="113"/>
      <c r="I51" s="112">
        <f>I$7</f>
        <v>2023</v>
      </c>
      <c r="J51" s="113"/>
      <c r="K51" s="112">
        <f>K$7</f>
        <v>2024</v>
      </c>
      <c r="L51" s="113"/>
      <c r="M51" s="114">
        <f>M$7</f>
        <v>2025</v>
      </c>
      <c r="N51" s="115"/>
    </row>
    <row r="52" spans="2:16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",RIGHT(E51,2),"/",RIGHT(C51,2))</f>
        <v>var 21/20</v>
      </c>
      <c r="G52" s="118" t="s">
        <v>72</v>
      </c>
      <c r="H52" s="117" t="str">
        <f>CONCATENATE("var ",RIGHT(G51,2),"/",RIGHT(E51,2))</f>
        <v>var 22/21</v>
      </c>
      <c r="I52" s="118" t="s">
        <v>72</v>
      </c>
      <c r="J52" s="117" t="str">
        <f>CONCATENATE("var ",RIGHT(I51,2),"/",RIGHT(G51,2))</f>
        <v>var 23/22</v>
      </c>
      <c r="K52" s="118" t="s">
        <v>72</v>
      </c>
      <c r="L52" s="117" t="str">
        <f>CONCATENATE("var ",RIGHT(K51,2),"/",RIGHT(I51,2))</f>
        <v>var 24/23</v>
      </c>
      <c r="M52" s="118" t="s">
        <v>72</v>
      </c>
      <c r="N52" s="117" t="str">
        <f>CONCATENATE("var ",RIGHT(M51,2),"/",RIGHT(K51,2))</f>
        <v>var 25/24</v>
      </c>
    </row>
    <row r="53" spans="2:16" x14ac:dyDescent="0.25">
      <c r="B53" s="119" t="s">
        <v>74</v>
      </c>
      <c r="C53" s="198">
        <v>0.77239999999999998</v>
      </c>
      <c r="D53" s="121"/>
      <c r="E53" s="198">
        <v>0</v>
      </c>
      <c r="F53" s="121">
        <f t="shared" ref="F53:J65" si="5">IFERROR(E53/C53-1,"-")</f>
        <v>-1</v>
      </c>
      <c r="G53" s="198">
        <v>0</v>
      </c>
      <c r="H53" s="121" t="str">
        <f t="shared" si="5"/>
        <v>-</v>
      </c>
      <c r="I53" s="198">
        <v>0.77359999999999995</v>
      </c>
      <c r="J53" s="121" t="str">
        <f t="shared" si="5"/>
        <v>-</v>
      </c>
      <c r="K53" s="198">
        <v>0.79760000000000009</v>
      </c>
      <c r="L53" s="121">
        <f t="shared" ref="L53:L65" si="6">IFERROR(K53/I53-1,"-")</f>
        <v>3.1023784901758278E-2</v>
      </c>
      <c r="M53" s="198">
        <v>0.76450000000000007</v>
      </c>
      <c r="N53" s="121">
        <f t="shared" ref="N53:N64" si="7">IFERROR(M53/K53-1,"-")</f>
        <v>-4.1499498495486509E-2</v>
      </c>
    </row>
    <row r="54" spans="2:16" x14ac:dyDescent="0.25">
      <c r="B54" s="119" t="s">
        <v>76</v>
      </c>
      <c r="C54" s="198">
        <v>0.74970000000000003</v>
      </c>
      <c r="D54" s="121"/>
      <c r="E54" s="198">
        <v>0</v>
      </c>
      <c r="F54" s="121">
        <f t="shared" si="5"/>
        <v>-1</v>
      </c>
      <c r="G54" s="198">
        <v>0</v>
      </c>
      <c r="H54" s="121" t="str">
        <f t="shared" si="5"/>
        <v>-</v>
      </c>
      <c r="I54" s="198">
        <v>0.82489999999999997</v>
      </c>
      <c r="J54" s="121" t="str">
        <f t="shared" si="5"/>
        <v>-</v>
      </c>
      <c r="K54" s="198">
        <v>0.80709999999999993</v>
      </c>
      <c r="L54" s="121">
        <f t="shared" si="6"/>
        <v>-2.1578373136137752E-2</v>
      </c>
      <c r="M54" s="198">
        <v>0.80030000000000001</v>
      </c>
      <c r="N54" s="121">
        <f t="shared" si="7"/>
        <v>-8.4252261182008459E-3</v>
      </c>
    </row>
    <row r="55" spans="2:16" x14ac:dyDescent="0.25">
      <c r="B55" s="119" t="s">
        <v>78</v>
      </c>
      <c r="C55" s="198">
        <v>0.31869999999999998</v>
      </c>
      <c r="D55" s="121"/>
      <c r="E55" s="198">
        <v>0</v>
      </c>
      <c r="F55" s="121">
        <f t="shared" si="5"/>
        <v>-1</v>
      </c>
      <c r="G55" s="198">
        <v>0</v>
      </c>
      <c r="H55" s="121" t="str">
        <f t="shared" si="5"/>
        <v>-</v>
      </c>
      <c r="I55" s="198">
        <v>0.7742</v>
      </c>
      <c r="J55" s="121" t="str">
        <f t="shared" si="5"/>
        <v>-</v>
      </c>
      <c r="K55" s="198">
        <v>0.80279999999999996</v>
      </c>
      <c r="L55" s="121">
        <f t="shared" si="6"/>
        <v>3.6941358822009773E-2</v>
      </c>
      <c r="M55" s="198">
        <v>0.75040000000000007</v>
      </c>
      <c r="N55" s="121">
        <f t="shared" si="7"/>
        <v>-6.527154957648218E-2</v>
      </c>
    </row>
    <row r="56" spans="2:16" x14ac:dyDescent="0.25">
      <c r="B56" s="119" t="s">
        <v>80</v>
      </c>
      <c r="C56" s="198">
        <v>0</v>
      </c>
      <c r="D56" s="121"/>
      <c r="E56" s="198">
        <v>0</v>
      </c>
      <c r="F56" s="121" t="str">
        <f t="shared" si="5"/>
        <v>-</v>
      </c>
      <c r="G56" s="198">
        <v>0</v>
      </c>
      <c r="H56" s="121" t="str">
        <f t="shared" si="5"/>
        <v>-</v>
      </c>
      <c r="I56" s="198">
        <v>0.77370000000000005</v>
      </c>
      <c r="J56" s="121" t="str">
        <f t="shared" si="5"/>
        <v>-</v>
      </c>
      <c r="K56" s="198">
        <v>0.75859999999999994</v>
      </c>
      <c r="L56" s="121">
        <f t="shared" si="6"/>
        <v>-1.9516608504588473E-2</v>
      </c>
      <c r="M56" s="198">
        <v>0.67</v>
      </c>
      <c r="N56" s="121">
        <f t="shared" si="7"/>
        <v>-0.11679409438439214</v>
      </c>
    </row>
    <row r="57" spans="2:16" x14ac:dyDescent="0.25">
      <c r="B57" s="119" t="s">
        <v>82</v>
      </c>
      <c r="C57" s="198">
        <v>0</v>
      </c>
      <c r="D57" s="121"/>
      <c r="E57" s="198">
        <v>0</v>
      </c>
      <c r="F57" s="121" t="str">
        <f t="shared" si="5"/>
        <v>-</v>
      </c>
      <c r="G57" s="198">
        <v>0</v>
      </c>
      <c r="H57" s="121" t="str">
        <f t="shared" si="5"/>
        <v>-</v>
      </c>
      <c r="I57" s="198">
        <v>0.7340000000000001</v>
      </c>
      <c r="J57" s="121" t="str">
        <f t="shared" si="5"/>
        <v>-</v>
      </c>
      <c r="K57" s="198">
        <v>0.73549999999999993</v>
      </c>
      <c r="L57" s="121">
        <f t="shared" si="6"/>
        <v>2.043596730245012E-3</v>
      </c>
      <c r="M57" s="198">
        <v>0.72730000000000006</v>
      </c>
      <c r="N57" s="121">
        <f t="shared" si="7"/>
        <v>-1.1148878314071853E-2</v>
      </c>
    </row>
    <row r="58" spans="2:16" x14ac:dyDescent="0.25">
      <c r="B58" s="119" t="s">
        <v>84</v>
      </c>
      <c r="C58" s="198">
        <v>0</v>
      </c>
      <c r="D58" s="121"/>
      <c r="E58" s="198">
        <v>0</v>
      </c>
      <c r="F58" s="121" t="str">
        <f t="shared" si="5"/>
        <v>-</v>
      </c>
      <c r="G58" s="198">
        <v>0</v>
      </c>
      <c r="H58" s="121" t="str">
        <f t="shared" si="5"/>
        <v>-</v>
      </c>
      <c r="I58" s="198">
        <v>0.78079999999999994</v>
      </c>
      <c r="J58" s="121" t="str">
        <f t="shared" si="5"/>
        <v>-</v>
      </c>
      <c r="K58" s="198">
        <v>0.78249999999999997</v>
      </c>
      <c r="L58" s="121">
        <f t="shared" si="6"/>
        <v>2.1772540983606703E-3</v>
      </c>
      <c r="M58" s="198">
        <v>0.80680000000000007</v>
      </c>
      <c r="N58" s="121">
        <f t="shared" si="7"/>
        <v>3.1054313099041719E-2</v>
      </c>
    </row>
    <row r="59" spans="2:16" x14ac:dyDescent="0.25">
      <c r="B59" s="119" t="s">
        <v>86</v>
      </c>
      <c r="C59" s="198">
        <v>0</v>
      </c>
      <c r="D59" s="121"/>
      <c r="E59" s="198">
        <v>0</v>
      </c>
      <c r="F59" s="121" t="str">
        <f t="shared" si="5"/>
        <v>-</v>
      </c>
      <c r="G59" s="198">
        <v>0</v>
      </c>
      <c r="H59" s="121" t="str">
        <f t="shared" si="5"/>
        <v>-</v>
      </c>
      <c r="I59" s="198">
        <v>0.85389999999999999</v>
      </c>
      <c r="J59" s="121" t="str">
        <f t="shared" si="5"/>
        <v>-</v>
      </c>
      <c r="K59" s="198">
        <v>0.80819999999999992</v>
      </c>
      <c r="L59" s="121">
        <f t="shared" si="6"/>
        <v>-5.3519147441152493E-2</v>
      </c>
      <c r="M59" s="198">
        <v>0.88239999999999996</v>
      </c>
      <c r="N59" s="121">
        <f t="shared" si="7"/>
        <v>9.1808958178668743E-2</v>
      </c>
    </row>
    <row r="60" spans="2:16" x14ac:dyDescent="0.25">
      <c r="B60" s="119" t="s">
        <v>88</v>
      </c>
      <c r="C60" s="198">
        <v>0.4476</v>
      </c>
      <c r="D60" s="121"/>
      <c r="E60" s="198">
        <v>0</v>
      </c>
      <c r="F60" s="121">
        <f t="shared" si="5"/>
        <v>-1</v>
      </c>
      <c r="G60" s="198">
        <v>0</v>
      </c>
      <c r="H60" s="121" t="str">
        <f t="shared" si="5"/>
        <v>-</v>
      </c>
      <c r="I60" s="198">
        <v>0.88569999999999993</v>
      </c>
      <c r="J60" s="121" t="str">
        <f t="shared" si="5"/>
        <v>-</v>
      </c>
      <c r="K60" s="198">
        <v>0.8448</v>
      </c>
      <c r="L60" s="121">
        <f t="shared" si="6"/>
        <v>-4.6178164163938051E-2</v>
      </c>
      <c r="M60" s="198">
        <v>0.90339999999999998</v>
      </c>
      <c r="N60" s="121">
        <f t="shared" si="7"/>
        <v>6.9365530303030276E-2</v>
      </c>
    </row>
    <row r="61" spans="2:16" x14ac:dyDescent="0.25">
      <c r="B61" s="119" t="s">
        <v>90</v>
      </c>
      <c r="C61" s="198">
        <v>0.28889999999999999</v>
      </c>
      <c r="D61" s="121"/>
      <c r="E61" s="198">
        <v>0</v>
      </c>
      <c r="F61" s="121">
        <f t="shared" si="5"/>
        <v>-1</v>
      </c>
      <c r="G61" s="198">
        <v>0</v>
      </c>
      <c r="H61" s="121" t="str">
        <f t="shared" si="5"/>
        <v>-</v>
      </c>
      <c r="I61" s="198">
        <v>0.79090000000000005</v>
      </c>
      <c r="J61" s="121" t="str">
        <f t="shared" si="5"/>
        <v>-</v>
      </c>
      <c r="K61" s="198">
        <v>0.79409999999999992</v>
      </c>
      <c r="L61" s="121">
        <f t="shared" si="6"/>
        <v>4.0460235175114878E-3</v>
      </c>
      <c r="M61" s="198">
        <v>0.80169999999999997</v>
      </c>
      <c r="N61" s="121">
        <f t="shared" si="7"/>
        <v>9.5705830499936972E-3</v>
      </c>
    </row>
    <row r="62" spans="2:16" x14ac:dyDescent="0.25">
      <c r="B62" s="119" t="s">
        <v>92</v>
      </c>
      <c r="C62" s="198">
        <v>0.25650000000000001</v>
      </c>
      <c r="D62" s="121"/>
      <c r="E62" s="198">
        <v>0</v>
      </c>
      <c r="F62" s="121">
        <f t="shared" si="5"/>
        <v>-1</v>
      </c>
      <c r="G62" s="198">
        <v>0</v>
      </c>
      <c r="H62" s="121" t="str">
        <f t="shared" si="5"/>
        <v>-</v>
      </c>
      <c r="I62" s="198">
        <v>0.83700000000000008</v>
      </c>
      <c r="J62" s="121" t="str">
        <f t="shared" si="5"/>
        <v>-</v>
      </c>
      <c r="K62" s="198">
        <v>0.81709999999999994</v>
      </c>
      <c r="L62" s="121">
        <f t="shared" si="6"/>
        <v>-2.3775388291517485E-2</v>
      </c>
      <c r="M62" s="198">
        <v>0.88200000000000001</v>
      </c>
      <c r="N62" s="121">
        <f t="shared" si="7"/>
        <v>7.9427242687553523E-2</v>
      </c>
    </row>
    <row r="63" spans="2:16" x14ac:dyDescent="0.25">
      <c r="B63" s="119" t="s">
        <v>94</v>
      </c>
      <c r="C63" s="198">
        <v>0.24109999999999998</v>
      </c>
      <c r="D63" s="121"/>
      <c r="E63" s="198">
        <v>0</v>
      </c>
      <c r="F63" s="121">
        <f t="shared" si="5"/>
        <v>-1</v>
      </c>
      <c r="G63" s="198">
        <v>0</v>
      </c>
      <c r="H63" s="121" t="str">
        <f t="shared" si="5"/>
        <v>-</v>
      </c>
      <c r="I63" s="198">
        <v>0.79700000000000004</v>
      </c>
      <c r="J63" s="121" t="str">
        <f t="shared" si="5"/>
        <v>-</v>
      </c>
      <c r="K63" s="198">
        <v>0.75609999999999999</v>
      </c>
      <c r="L63" s="121">
        <f t="shared" si="6"/>
        <v>-5.1317440401505654E-2</v>
      </c>
      <c r="M63" s="198">
        <v>0.80189999999999995</v>
      </c>
      <c r="N63" s="121">
        <f t="shared" si="7"/>
        <v>6.0573998148393038E-2</v>
      </c>
    </row>
    <row r="64" spans="2:16" x14ac:dyDescent="0.25">
      <c r="B64" s="119" t="s">
        <v>96</v>
      </c>
      <c r="C64" s="198">
        <v>0.21739999999999998</v>
      </c>
      <c r="D64" s="121"/>
      <c r="E64" s="198">
        <v>0</v>
      </c>
      <c r="F64" s="121">
        <f t="shared" si="5"/>
        <v>-1</v>
      </c>
      <c r="G64" s="198">
        <v>0</v>
      </c>
      <c r="H64" s="121" t="str">
        <f t="shared" si="5"/>
        <v>-</v>
      </c>
      <c r="I64" s="198">
        <v>0.77450000000000008</v>
      </c>
      <c r="J64" s="121" t="str">
        <f t="shared" si="5"/>
        <v>-</v>
      </c>
      <c r="K64" s="198">
        <v>0.73540000000000005</v>
      </c>
      <c r="L64" s="121">
        <f t="shared" si="6"/>
        <v>-5.0484183344092992E-2</v>
      </c>
      <c r="M64" s="198">
        <v>0.72709999999999997</v>
      </c>
      <c r="N64" s="121">
        <f t="shared" si="7"/>
        <v>-1.1286374762034423E-2</v>
      </c>
    </row>
    <row r="65" spans="2:16" ht="15.75" x14ac:dyDescent="0.25">
      <c r="B65" s="122" t="s">
        <v>33</v>
      </c>
      <c r="C65" s="202">
        <v>0.50671090593578938</v>
      </c>
      <c r="D65" s="203"/>
      <c r="E65" s="204">
        <v>0.52950161877207813</v>
      </c>
      <c r="F65" s="203">
        <f t="shared" si="5"/>
        <v>4.4977742869376502E-2</v>
      </c>
      <c r="G65" s="204">
        <v>0.73516921989137307</v>
      </c>
      <c r="H65" s="203">
        <f t="shared" si="5"/>
        <v>0.38841732268211193</v>
      </c>
      <c r="I65" s="204">
        <v>0.80004964778484555</v>
      </c>
      <c r="J65" s="203">
        <f t="shared" si="5"/>
        <v>8.8252372566766324E-2</v>
      </c>
      <c r="K65" s="204">
        <v>0.78689544739702177</v>
      </c>
      <c r="L65" s="203">
        <f t="shared" si="6"/>
        <v>-1.6441730115430597E-2</v>
      </c>
      <c r="M65" s="204">
        <v>0.79328500348068165</v>
      </c>
      <c r="N65" s="203">
        <f>IFERROR(M65/K65-1,"-")</f>
        <v>8.1199555859625683E-3</v>
      </c>
    </row>
    <row r="66" spans="2:16" ht="6" customHeight="1" x14ac:dyDescent="0.25"/>
    <row r="67" spans="2:16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2:16" x14ac:dyDescent="0.25">
      <c r="C68" s="201"/>
      <c r="K68" s="201"/>
      <c r="L68" s="201"/>
    </row>
    <row r="70" spans="2:16" ht="21.75" customHeight="1" thickBot="1" x14ac:dyDescent="0.3">
      <c r="B70" s="283" t="s">
        <v>318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P70" s="1" t="s">
        <v>164</v>
      </c>
    </row>
    <row r="71" spans="2:16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P71" s="1" t="s">
        <v>165</v>
      </c>
    </row>
    <row r="72" spans="2:16" ht="22.5" thickTop="1" thickBot="1" x14ac:dyDescent="0.3">
      <c r="B72" s="111"/>
      <c r="C72" s="305" t="s">
        <v>65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2:16" ht="22.5" thickTop="1" thickBot="1" x14ac:dyDescent="0.3">
      <c r="B73" s="111"/>
      <c r="C73" s="112">
        <f>C$7</f>
        <v>2020</v>
      </c>
      <c r="D73" s="113"/>
      <c r="E73" s="112">
        <f>E$7</f>
        <v>2021</v>
      </c>
      <c r="F73" s="113"/>
      <c r="G73" s="112">
        <f>G$7</f>
        <v>2022</v>
      </c>
      <c r="H73" s="113"/>
      <c r="I73" s="112">
        <f>I$7</f>
        <v>2023</v>
      </c>
      <c r="J73" s="113"/>
      <c r="K73" s="112">
        <f>K$7</f>
        <v>2024</v>
      </c>
      <c r="L73" s="113"/>
      <c r="M73" s="114">
        <f>M$7</f>
        <v>2025</v>
      </c>
      <c r="N73" s="115"/>
    </row>
    <row r="74" spans="2:16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",RIGHT(E73,2),"/",RIGHT(C73,2))</f>
        <v>var 21/20</v>
      </c>
      <c r="G74" s="118" t="s">
        <v>72</v>
      </c>
      <c r="H74" s="117" t="str">
        <f>CONCATENATE("var ",RIGHT(G73,2),"/",RIGHT(E73,2))</f>
        <v>var 22/21</v>
      </c>
      <c r="I74" s="118" t="s">
        <v>72</v>
      </c>
      <c r="J74" s="117" t="str">
        <f>CONCATENATE("var ",RIGHT(I73,2),"/",RIGHT(G73,2))</f>
        <v>var 23/22</v>
      </c>
      <c r="K74" s="118" t="s">
        <v>72</v>
      </c>
      <c r="L74" s="117" t="str">
        <f>CONCATENATE("var ",RIGHT(K73,2),"/",RIGHT(I73,2))</f>
        <v>var 24/23</v>
      </c>
      <c r="M74" s="118" t="s">
        <v>72</v>
      </c>
      <c r="N74" s="117" t="str">
        <f>CONCATENATE("var ",RIGHT(M73,2),"/",RIGHT(K73,2))</f>
        <v>var 25/24</v>
      </c>
    </row>
    <row r="75" spans="2:16" x14ac:dyDescent="0.25">
      <c r="B75" s="119" t="s">
        <v>74</v>
      </c>
      <c r="C75" s="198">
        <v>0.6715000000000001</v>
      </c>
      <c r="D75" s="121"/>
      <c r="E75" s="198">
        <v>0</v>
      </c>
      <c r="F75" s="121">
        <f t="shared" ref="F75:J87" si="8">IFERROR(E75/C75-1,"-")</f>
        <v>-1</v>
      </c>
      <c r="G75" s="198">
        <v>0</v>
      </c>
      <c r="H75" s="121" t="str">
        <f t="shared" si="8"/>
        <v>-</v>
      </c>
      <c r="I75" s="198">
        <v>0.61450000000000005</v>
      </c>
      <c r="J75" s="121" t="str">
        <f t="shared" si="8"/>
        <v>-</v>
      </c>
      <c r="K75" s="198">
        <v>0.50130000000000008</v>
      </c>
      <c r="L75" s="121">
        <f t="shared" ref="L75:L87" si="9">IFERROR(K75/I75-1,"-")</f>
        <v>-0.18421480878763219</v>
      </c>
      <c r="M75" s="198">
        <v>0.69620000000000004</v>
      </c>
      <c r="N75" s="121">
        <f t="shared" ref="N75:N86" si="10">IFERROR(M75/K75-1,"-")</f>
        <v>0.38878914821464172</v>
      </c>
    </row>
    <row r="76" spans="2:16" x14ac:dyDescent="0.25">
      <c r="B76" s="119" t="s">
        <v>76</v>
      </c>
      <c r="C76" s="198">
        <v>0.69769999999999999</v>
      </c>
      <c r="D76" s="121"/>
      <c r="E76" s="198">
        <v>0</v>
      </c>
      <c r="F76" s="121">
        <f t="shared" si="8"/>
        <v>-1</v>
      </c>
      <c r="G76" s="198">
        <v>0</v>
      </c>
      <c r="H76" s="121" t="str">
        <f t="shared" si="8"/>
        <v>-</v>
      </c>
      <c r="I76" s="198">
        <v>0.73510000000000009</v>
      </c>
      <c r="J76" s="121" t="str">
        <f t="shared" si="8"/>
        <v>-</v>
      </c>
      <c r="K76" s="198">
        <v>0.65959999999999996</v>
      </c>
      <c r="L76" s="121">
        <f t="shared" si="9"/>
        <v>-0.1027071146782752</v>
      </c>
      <c r="M76" s="198">
        <v>0.70050000000000001</v>
      </c>
      <c r="N76" s="121">
        <f t="shared" si="10"/>
        <v>6.2007277137659189E-2</v>
      </c>
    </row>
    <row r="77" spans="2:16" x14ac:dyDescent="0.25">
      <c r="B77" s="119" t="s">
        <v>78</v>
      </c>
      <c r="C77" s="198">
        <v>0.3201</v>
      </c>
      <c r="D77" s="121"/>
      <c r="E77" s="198">
        <v>0</v>
      </c>
      <c r="F77" s="121">
        <f t="shared" si="8"/>
        <v>-1</v>
      </c>
      <c r="G77" s="198">
        <v>0</v>
      </c>
      <c r="H77" s="121" t="str">
        <f t="shared" si="8"/>
        <v>-</v>
      </c>
      <c r="I77" s="198">
        <v>0.74170000000000003</v>
      </c>
      <c r="J77" s="121" t="str">
        <f t="shared" si="8"/>
        <v>-</v>
      </c>
      <c r="K77" s="198">
        <v>0.67459999999999998</v>
      </c>
      <c r="L77" s="121">
        <f t="shared" si="9"/>
        <v>-9.0467844141836395E-2</v>
      </c>
      <c r="M77" s="198">
        <v>0.70730000000000004</v>
      </c>
      <c r="N77" s="121">
        <f t="shared" si="10"/>
        <v>4.8473169285502715E-2</v>
      </c>
    </row>
    <row r="78" spans="2:16" x14ac:dyDescent="0.25">
      <c r="B78" s="119" t="s">
        <v>80</v>
      </c>
      <c r="C78" s="198">
        <v>0</v>
      </c>
      <c r="D78" s="121"/>
      <c r="E78" s="198">
        <v>0</v>
      </c>
      <c r="F78" s="121" t="str">
        <f t="shared" si="8"/>
        <v>-</v>
      </c>
      <c r="G78" s="198">
        <v>0</v>
      </c>
      <c r="H78" s="121" t="str">
        <f t="shared" si="8"/>
        <v>-</v>
      </c>
      <c r="I78" s="198">
        <v>0.68030000000000002</v>
      </c>
      <c r="J78" s="121" t="str">
        <f t="shared" si="8"/>
        <v>-</v>
      </c>
      <c r="K78" s="198">
        <v>0.60350000000000004</v>
      </c>
      <c r="L78" s="121">
        <f t="shared" si="9"/>
        <v>-0.11289137145377037</v>
      </c>
      <c r="M78" s="198">
        <v>0.64419999999999999</v>
      </c>
      <c r="N78" s="121">
        <f t="shared" si="10"/>
        <v>6.7439933719966705E-2</v>
      </c>
    </row>
    <row r="79" spans="2:16" x14ac:dyDescent="0.25">
      <c r="B79" s="119" t="s">
        <v>82</v>
      </c>
      <c r="C79" s="198">
        <v>0</v>
      </c>
      <c r="D79" s="121"/>
      <c r="E79" s="198">
        <v>0</v>
      </c>
      <c r="F79" s="121" t="str">
        <f t="shared" si="8"/>
        <v>-</v>
      </c>
      <c r="G79" s="198">
        <v>0</v>
      </c>
      <c r="H79" s="121" t="str">
        <f t="shared" si="8"/>
        <v>-</v>
      </c>
      <c r="I79" s="198">
        <v>0.54620000000000002</v>
      </c>
      <c r="J79" s="121" t="str">
        <f t="shared" si="8"/>
        <v>-</v>
      </c>
      <c r="K79" s="198">
        <v>0.51469999999999994</v>
      </c>
      <c r="L79" s="121">
        <f t="shared" si="9"/>
        <v>-5.7671182716953595E-2</v>
      </c>
      <c r="M79" s="198">
        <v>0.53700000000000003</v>
      </c>
      <c r="N79" s="121">
        <f t="shared" si="10"/>
        <v>4.3326209442393848E-2</v>
      </c>
    </row>
    <row r="80" spans="2:16" x14ac:dyDescent="0.25">
      <c r="B80" s="119" t="s">
        <v>84</v>
      </c>
      <c r="C80" s="198">
        <v>0</v>
      </c>
      <c r="D80" s="121"/>
      <c r="E80" s="198">
        <v>0</v>
      </c>
      <c r="F80" s="121" t="str">
        <f t="shared" si="8"/>
        <v>-</v>
      </c>
      <c r="G80" s="198">
        <v>0</v>
      </c>
      <c r="H80" s="121" t="str">
        <f t="shared" si="8"/>
        <v>-</v>
      </c>
      <c r="I80" s="198">
        <v>0.69129999999999991</v>
      </c>
      <c r="J80" s="121" t="str">
        <f t="shared" si="8"/>
        <v>-</v>
      </c>
      <c r="K80" s="198">
        <v>0.64480000000000004</v>
      </c>
      <c r="L80" s="121">
        <f t="shared" si="9"/>
        <v>-6.7264573991031251E-2</v>
      </c>
      <c r="M80" s="198">
        <v>0.66310000000000002</v>
      </c>
      <c r="N80" s="121">
        <f t="shared" si="10"/>
        <v>2.8380893300248067E-2</v>
      </c>
    </row>
    <row r="81" spans="2:16" x14ac:dyDescent="0.25">
      <c r="B81" s="119" t="s">
        <v>86</v>
      </c>
      <c r="C81" s="198">
        <v>0</v>
      </c>
      <c r="D81" s="121"/>
      <c r="E81" s="198">
        <v>0</v>
      </c>
      <c r="F81" s="121" t="str">
        <f t="shared" si="8"/>
        <v>-</v>
      </c>
      <c r="G81" s="198">
        <v>0</v>
      </c>
      <c r="H81" s="121" t="str">
        <f t="shared" si="8"/>
        <v>-</v>
      </c>
      <c r="I81" s="198">
        <v>0.745</v>
      </c>
      <c r="J81" s="121" t="str">
        <f t="shared" si="8"/>
        <v>-</v>
      </c>
      <c r="K81" s="198">
        <v>0.70840000000000003</v>
      </c>
      <c r="L81" s="121">
        <f t="shared" si="9"/>
        <v>-4.912751677852345E-2</v>
      </c>
      <c r="M81" s="198">
        <v>0.70920000000000005</v>
      </c>
      <c r="N81" s="121">
        <f t="shared" si="10"/>
        <v>1.1293054771315258E-3</v>
      </c>
    </row>
    <row r="82" spans="2:16" x14ac:dyDescent="0.25">
      <c r="B82" s="119" t="s">
        <v>88</v>
      </c>
      <c r="C82" s="198">
        <v>0.30510000000000004</v>
      </c>
      <c r="D82" s="121"/>
      <c r="E82" s="198">
        <v>0</v>
      </c>
      <c r="F82" s="121">
        <f t="shared" si="8"/>
        <v>-1</v>
      </c>
      <c r="G82" s="198">
        <v>0</v>
      </c>
      <c r="H82" s="121" t="str">
        <f t="shared" si="8"/>
        <v>-</v>
      </c>
      <c r="I82" s="198">
        <v>1.0290999999999999</v>
      </c>
      <c r="J82" s="121" t="str">
        <f t="shared" si="8"/>
        <v>-</v>
      </c>
      <c r="K82" s="198">
        <v>0.72909999999999997</v>
      </c>
      <c r="L82" s="121">
        <f t="shared" si="9"/>
        <v>-0.29151685939170147</v>
      </c>
      <c r="M82" s="198">
        <v>0.65790000000000004</v>
      </c>
      <c r="N82" s="121">
        <f t="shared" si="10"/>
        <v>-9.7654642710190531E-2</v>
      </c>
    </row>
    <row r="83" spans="2:16" x14ac:dyDescent="0.25">
      <c r="B83" s="119" t="s">
        <v>90</v>
      </c>
      <c r="C83" s="198">
        <v>0.15240000000000001</v>
      </c>
      <c r="D83" s="121"/>
      <c r="E83" s="198">
        <v>0</v>
      </c>
      <c r="F83" s="121">
        <f t="shared" si="8"/>
        <v>-1</v>
      </c>
      <c r="G83" s="198">
        <v>0</v>
      </c>
      <c r="H83" s="121" t="str">
        <f t="shared" si="8"/>
        <v>-</v>
      </c>
      <c r="I83" s="198">
        <v>0.73609999999999998</v>
      </c>
      <c r="J83" s="121" t="str">
        <f t="shared" si="8"/>
        <v>-</v>
      </c>
      <c r="K83" s="198">
        <v>0.66900000000000004</v>
      </c>
      <c r="L83" s="121">
        <f t="shared" si="9"/>
        <v>-9.1156092922157206E-2</v>
      </c>
      <c r="M83" s="198">
        <v>0.69969999999999999</v>
      </c>
      <c r="N83" s="121">
        <f t="shared" si="10"/>
        <v>4.5889387144992355E-2</v>
      </c>
    </row>
    <row r="84" spans="2:16" x14ac:dyDescent="0.25">
      <c r="B84" s="119" t="s">
        <v>92</v>
      </c>
      <c r="C84" s="198">
        <v>8.8300000000000003E-2</v>
      </c>
      <c r="D84" s="121"/>
      <c r="E84" s="198">
        <v>0</v>
      </c>
      <c r="F84" s="121">
        <f t="shared" si="8"/>
        <v>-1</v>
      </c>
      <c r="G84" s="198">
        <v>0</v>
      </c>
      <c r="H84" s="121" t="str">
        <f t="shared" si="8"/>
        <v>-</v>
      </c>
      <c r="I84" s="198">
        <v>0.75290000000000001</v>
      </c>
      <c r="J84" s="121" t="str">
        <f t="shared" si="8"/>
        <v>-</v>
      </c>
      <c r="K84" s="198">
        <v>0.66390000000000005</v>
      </c>
      <c r="L84" s="121">
        <f t="shared" si="9"/>
        <v>-0.11820958958693051</v>
      </c>
      <c r="M84" s="198">
        <v>0.71849999999999992</v>
      </c>
      <c r="N84" s="121">
        <f t="shared" si="10"/>
        <v>8.2241301400813205E-2</v>
      </c>
    </row>
    <row r="85" spans="2:16" x14ac:dyDescent="0.25">
      <c r="B85" s="119" t="s">
        <v>94</v>
      </c>
      <c r="C85" s="198">
        <v>0.14550000000000002</v>
      </c>
      <c r="D85" s="121"/>
      <c r="E85" s="198">
        <v>0</v>
      </c>
      <c r="F85" s="121">
        <f t="shared" si="8"/>
        <v>-1</v>
      </c>
      <c r="G85" s="198">
        <v>0</v>
      </c>
      <c r="H85" s="121" t="str">
        <f t="shared" si="8"/>
        <v>-</v>
      </c>
      <c r="I85" s="198">
        <v>0.76319999999999988</v>
      </c>
      <c r="J85" s="121" t="str">
        <f t="shared" si="8"/>
        <v>-</v>
      </c>
      <c r="K85" s="198">
        <v>0.6855</v>
      </c>
      <c r="L85" s="121">
        <f t="shared" si="9"/>
        <v>-0.10180817610062876</v>
      </c>
      <c r="M85" s="198">
        <v>0.73080000000000001</v>
      </c>
      <c r="N85" s="121">
        <f t="shared" si="10"/>
        <v>6.6083150984682648E-2</v>
      </c>
    </row>
    <row r="86" spans="2:16" x14ac:dyDescent="0.25">
      <c r="B86" s="119" t="s">
        <v>96</v>
      </c>
      <c r="C86" s="198">
        <v>0.1464</v>
      </c>
      <c r="D86" s="121"/>
      <c r="E86" s="198">
        <v>0</v>
      </c>
      <c r="F86" s="121">
        <f t="shared" si="8"/>
        <v>-1</v>
      </c>
      <c r="G86" s="198">
        <v>0</v>
      </c>
      <c r="H86" s="121" t="str">
        <f t="shared" si="8"/>
        <v>-</v>
      </c>
      <c r="I86" s="198">
        <v>0.77870000000000006</v>
      </c>
      <c r="J86" s="121" t="str">
        <f t="shared" si="8"/>
        <v>-</v>
      </c>
      <c r="K86" s="198">
        <v>0.67549999999999999</v>
      </c>
      <c r="L86" s="121">
        <f t="shared" si="9"/>
        <v>-0.13252857326313094</v>
      </c>
      <c r="M86" s="198">
        <v>0.68830000000000002</v>
      </c>
      <c r="N86" s="121">
        <f t="shared" si="10"/>
        <v>1.8948926720947501E-2</v>
      </c>
    </row>
    <row r="87" spans="2:16" ht="15.75" x14ac:dyDescent="0.25">
      <c r="B87" s="122" t="s">
        <v>33</v>
      </c>
      <c r="C87" s="202">
        <f>IFERROR(AVERAGE(C75:C86),"-")</f>
        <v>0.21058333333333334</v>
      </c>
      <c r="D87" s="203"/>
      <c r="E87" s="202">
        <f>IFERROR(AVERAGE(E75:E86),"-")</f>
        <v>0</v>
      </c>
      <c r="F87" s="203">
        <f t="shared" si="8"/>
        <v>-1</v>
      </c>
      <c r="G87" s="202">
        <f>IFERROR(AVERAGE(G75:G86),"-")</f>
        <v>0</v>
      </c>
      <c r="H87" s="203" t="str">
        <f t="shared" si="8"/>
        <v>-</v>
      </c>
      <c r="I87" s="202">
        <f>IFERROR(AVERAGE(I75:I86),"-")</f>
        <v>0.73450833333333332</v>
      </c>
      <c r="J87" s="203" t="str">
        <f t="shared" si="8"/>
        <v>-</v>
      </c>
      <c r="K87" s="202">
        <f>IFERROR(AVERAGE(K75:K86),"-")</f>
        <v>0.64415833333333339</v>
      </c>
      <c r="L87" s="203">
        <f t="shared" si="9"/>
        <v>-0.1230074539658047</v>
      </c>
      <c r="M87" s="204">
        <f>IFERROR(AVERAGE(M75:M86),"-")</f>
        <v>0.67939166666666673</v>
      </c>
      <c r="N87" s="203">
        <f>IFERROR(M87/K87-1,"-")</f>
        <v>5.4696697240585346E-2</v>
      </c>
    </row>
    <row r="88" spans="2:16" ht="6" customHeight="1" x14ac:dyDescent="0.25"/>
    <row r="89" spans="2:16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2" spans="2:16" ht="21.75" customHeight="1" thickBot="1" x14ac:dyDescent="0.3">
      <c r="B92" s="283" t="s">
        <v>319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P92" s="1" t="s">
        <v>166</v>
      </c>
    </row>
    <row r="93" spans="2:16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P93" s="1" t="s">
        <v>167</v>
      </c>
    </row>
    <row r="94" spans="2:16" ht="22.5" thickTop="1" thickBot="1" x14ac:dyDescent="0.3">
      <c r="B94" s="111"/>
      <c r="C94" s="305" t="s">
        <v>35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2:16" ht="22.5" thickTop="1" thickBot="1" x14ac:dyDescent="0.3">
      <c r="B95" s="111"/>
      <c r="C95" s="112">
        <f>C$7</f>
        <v>2020</v>
      </c>
      <c r="D95" s="113"/>
      <c r="E95" s="112">
        <f>E$7</f>
        <v>2021</v>
      </c>
      <c r="F95" s="113"/>
      <c r="G95" s="112">
        <f>G$7</f>
        <v>2022</v>
      </c>
      <c r="H95" s="113"/>
      <c r="I95" s="112">
        <f>I$7</f>
        <v>2023</v>
      </c>
      <c r="J95" s="113"/>
      <c r="K95" s="112">
        <f>K$7</f>
        <v>2024</v>
      </c>
      <c r="L95" s="113"/>
      <c r="M95" s="114">
        <f>M$7</f>
        <v>2025</v>
      </c>
      <c r="N95" s="115"/>
    </row>
    <row r="96" spans="2:16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",RIGHT(E95,2),"/",RIGHT(C95,2))</f>
        <v>var 21/20</v>
      </c>
      <c r="G96" s="118" t="s">
        <v>72</v>
      </c>
      <c r="H96" s="117" t="str">
        <f>CONCATENATE("var ",RIGHT(G95,2),"/",RIGHT(E95,2))</f>
        <v>var 22/21</v>
      </c>
      <c r="I96" s="118" t="s">
        <v>72</v>
      </c>
      <c r="J96" s="117" t="str">
        <f>CONCATENATE("var ",RIGHT(I95,2),"/",RIGHT(G95,2))</f>
        <v>var 23/22</v>
      </c>
      <c r="K96" s="118" t="s">
        <v>72</v>
      </c>
      <c r="L96" s="117" t="str">
        <f>CONCATENATE("var ",RIGHT(K95,2),"/",RIGHT(I95,2))</f>
        <v>var 24/23</v>
      </c>
      <c r="M96" s="118" t="s">
        <v>72</v>
      </c>
      <c r="N96" s="117" t="str">
        <f>CONCATENATE("var ",RIGHT(M95,2),"/",RIGHT(K95,2))</f>
        <v>var 25/24</v>
      </c>
    </row>
    <row r="97" spans="2:14" x14ac:dyDescent="0.25">
      <c r="B97" s="119" t="s">
        <v>74</v>
      </c>
      <c r="C97" s="198">
        <v>0.63659999999999994</v>
      </c>
      <c r="D97" s="121"/>
      <c r="E97" s="198">
        <v>0.10619999999999999</v>
      </c>
      <c r="F97" s="121">
        <f t="shared" ref="F97:J109" si="11">IFERROR(E97/C97-1,"-")</f>
        <v>-0.83317624882186614</v>
      </c>
      <c r="G97" s="198">
        <v>0.5212</v>
      </c>
      <c r="H97" s="121">
        <f t="shared" si="11"/>
        <v>3.9077212806026367</v>
      </c>
      <c r="I97" s="198">
        <v>0.59630000000000005</v>
      </c>
      <c r="J97" s="121">
        <f t="shared" si="11"/>
        <v>0.14409056024558731</v>
      </c>
      <c r="K97" s="198">
        <v>0.69739999999999991</v>
      </c>
      <c r="L97" s="121">
        <f t="shared" ref="L97:L109" si="12">IFERROR(K97/I97-1,"-")</f>
        <v>0.16954553077310064</v>
      </c>
      <c r="M97" s="198">
        <v>0.7167</v>
      </c>
      <c r="N97" s="121">
        <f t="shared" ref="N97:N108" si="13">IFERROR(M97/K97-1,"-")</f>
        <v>2.7674218525953753E-2</v>
      </c>
    </row>
    <row r="98" spans="2:14" x14ac:dyDescent="0.25">
      <c r="B98" s="119" t="s">
        <v>76</v>
      </c>
      <c r="C98" s="198">
        <v>0.63249999999999995</v>
      </c>
      <c r="D98" s="121"/>
      <c r="E98" s="198">
        <v>0.12269999999999999</v>
      </c>
      <c r="F98" s="121">
        <f t="shared" si="11"/>
        <v>-0.80600790513833998</v>
      </c>
      <c r="G98" s="198">
        <v>0.61130000000000007</v>
      </c>
      <c r="H98" s="121">
        <f t="shared" si="11"/>
        <v>3.9820700896495529</v>
      </c>
      <c r="I98" s="198">
        <v>0.67659999999999998</v>
      </c>
      <c r="J98" s="121">
        <f t="shared" si="11"/>
        <v>0.10682152789137889</v>
      </c>
      <c r="K98" s="198">
        <v>0.72370000000000001</v>
      </c>
      <c r="L98" s="121">
        <f t="shared" si="12"/>
        <v>6.9612769731008051E-2</v>
      </c>
      <c r="M98" s="198">
        <v>0.74269999999999992</v>
      </c>
      <c r="N98" s="121">
        <f t="shared" si="13"/>
        <v>2.6253972640596812E-2</v>
      </c>
    </row>
    <row r="99" spans="2:14" x14ac:dyDescent="0.25">
      <c r="B99" s="119" t="s">
        <v>78</v>
      </c>
      <c r="C99" s="198">
        <v>0.26729999999999998</v>
      </c>
      <c r="D99" s="121"/>
      <c r="E99" s="198">
        <v>0.14429999999999998</v>
      </c>
      <c r="F99" s="121">
        <f t="shared" si="11"/>
        <v>-0.46015712682379351</v>
      </c>
      <c r="G99" s="198">
        <v>0.61539999999999995</v>
      </c>
      <c r="H99" s="121">
        <f t="shared" si="11"/>
        <v>3.2647262647262645</v>
      </c>
      <c r="I99" s="198">
        <v>0.64549999999999996</v>
      </c>
      <c r="J99" s="121">
        <f t="shared" si="11"/>
        <v>4.8911277218069538E-2</v>
      </c>
      <c r="K99" s="198">
        <v>0.70950000000000002</v>
      </c>
      <c r="L99" s="121">
        <f t="shared" si="12"/>
        <v>9.9147947327653085E-2</v>
      </c>
      <c r="M99" s="198">
        <v>0.69819999999999993</v>
      </c>
      <c r="N99" s="121">
        <f t="shared" si="13"/>
        <v>-1.5926708949964841E-2</v>
      </c>
    </row>
    <row r="100" spans="2:14" x14ac:dyDescent="0.25">
      <c r="B100" s="119" t="s">
        <v>80</v>
      </c>
      <c r="C100" s="198">
        <v>0</v>
      </c>
      <c r="D100" s="121"/>
      <c r="E100" s="198">
        <v>0.14429999999999998</v>
      </c>
      <c r="F100" s="121" t="str">
        <f t="shared" si="11"/>
        <v>-</v>
      </c>
      <c r="G100" s="198">
        <v>0.59089999999999998</v>
      </c>
      <c r="H100" s="121">
        <f t="shared" si="11"/>
        <v>3.0949410949410954</v>
      </c>
      <c r="I100" s="198">
        <v>0.57799999999999996</v>
      </c>
      <c r="J100" s="121">
        <f t="shared" si="11"/>
        <v>-2.1831105093924608E-2</v>
      </c>
      <c r="K100" s="198">
        <v>0.6765000000000001</v>
      </c>
      <c r="L100" s="121">
        <f t="shared" si="12"/>
        <v>0.17041522491349514</v>
      </c>
      <c r="M100" s="198">
        <v>0.69909999999999994</v>
      </c>
      <c r="N100" s="121">
        <f t="shared" si="13"/>
        <v>3.3407243163340539E-2</v>
      </c>
    </row>
    <row r="101" spans="2:14" x14ac:dyDescent="0.25">
      <c r="B101" s="119" t="s">
        <v>82</v>
      </c>
      <c r="C101" s="198">
        <v>0</v>
      </c>
      <c r="D101" s="121"/>
      <c r="E101" s="198">
        <v>0.13689999999999999</v>
      </c>
      <c r="F101" s="121" t="str">
        <f t="shared" si="11"/>
        <v>-</v>
      </c>
      <c r="G101" s="198">
        <v>0.50259999999999994</v>
      </c>
      <c r="H101" s="121">
        <f t="shared" si="11"/>
        <v>2.6712929145361577</v>
      </c>
      <c r="I101" s="198">
        <v>0.47</v>
      </c>
      <c r="J101" s="121">
        <f t="shared" si="11"/>
        <v>-6.4862713887783419E-2</v>
      </c>
      <c r="K101" s="198">
        <v>0.63129999999999997</v>
      </c>
      <c r="L101" s="121">
        <f t="shared" si="12"/>
        <v>0.34319148936170207</v>
      </c>
      <c r="M101" s="198">
        <v>0.5988</v>
      </c>
      <c r="N101" s="121">
        <f t="shared" si="13"/>
        <v>-5.1481070806272733E-2</v>
      </c>
    </row>
    <row r="102" spans="2:14" x14ac:dyDescent="0.25">
      <c r="B102" s="119" t="s">
        <v>84</v>
      </c>
      <c r="C102" s="198">
        <v>0</v>
      </c>
      <c r="D102" s="121"/>
      <c r="E102" s="198">
        <v>0.17980000000000002</v>
      </c>
      <c r="F102" s="121" t="str">
        <f t="shared" si="11"/>
        <v>-</v>
      </c>
      <c r="G102" s="198">
        <v>0.50560000000000005</v>
      </c>
      <c r="H102" s="121">
        <f t="shared" si="11"/>
        <v>1.8120133481646272</v>
      </c>
      <c r="I102" s="198">
        <v>0.59350000000000003</v>
      </c>
      <c r="J102" s="121">
        <f t="shared" si="11"/>
        <v>0.17385284810126578</v>
      </c>
      <c r="K102" s="198">
        <v>0.66439999999999999</v>
      </c>
      <c r="L102" s="121">
        <f t="shared" si="12"/>
        <v>0.11946082561078342</v>
      </c>
      <c r="M102" s="198">
        <v>0.66870000000000007</v>
      </c>
      <c r="N102" s="121">
        <f t="shared" si="13"/>
        <v>6.472004816375776E-3</v>
      </c>
    </row>
    <row r="103" spans="2:14" x14ac:dyDescent="0.25">
      <c r="B103" s="119" t="s">
        <v>86</v>
      </c>
      <c r="C103" s="198">
        <v>0</v>
      </c>
      <c r="D103" s="121"/>
      <c r="E103" s="198">
        <v>0.3226</v>
      </c>
      <c r="F103" s="121" t="str">
        <f t="shared" si="11"/>
        <v>-</v>
      </c>
      <c r="G103" s="198">
        <v>0.67879999999999996</v>
      </c>
      <c r="H103" s="121">
        <f t="shared" si="11"/>
        <v>1.1041537507749535</v>
      </c>
      <c r="I103" s="198">
        <v>0.67799999999999994</v>
      </c>
      <c r="J103" s="121">
        <f t="shared" si="11"/>
        <v>-1.1785503830289423E-3</v>
      </c>
      <c r="K103" s="198">
        <v>0.72719999999999996</v>
      </c>
      <c r="L103" s="121">
        <f t="shared" si="12"/>
        <v>7.2566371681415998E-2</v>
      </c>
      <c r="M103" s="198">
        <v>0.77040000000000008</v>
      </c>
      <c r="N103" s="121">
        <f t="shared" si="13"/>
        <v>5.9405940594059681E-2</v>
      </c>
    </row>
    <row r="104" spans="2:14" x14ac:dyDescent="0.25">
      <c r="B104" s="119" t="s">
        <v>88</v>
      </c>
      <c r="C104" s="198">
        <v>0.2712</v>
      </c>
      <c r="D104" s="121"/>
      <c r="E104" s="198">
        <v>0.42599999999999999</v>
      </c>
      <c r="F104" s="121">
        <f t="shared" si="11"/>
        <v>0.57079646017699104</v>
      </c>
      <c r="G104" s="198">
        <v>0.67610000000000003</v>
      </c>
      <c r="H104" s="121">
        <f t="shared" si="11"/>
        <v>0.58708920187793434</v>
      </c>
      <c r="I104" s="198">
        <v>0.70940000000000003</v>
      </c>
      <c r="J104" s="121">
        <f t="shared" si="11"/>
        <v>4.925306907262228E-2</v>
      </c>
      <c r="K104" s="198">
        <v>0.76439999999999997</v>
      </c>
      <c r="L104" s="121">
        <f t="shared" si="12"/>
        <v>7.7530307301945323E-2</v>
      </c>
      <c r="M104" s="198">
        <v>0.71860000000000002</v>
      </c>
      <c r="N104" s="121">
        <f t="shared" si="13"/>
        <v>-5.9916274201988418E-2</v>
      </c>
    </row>
    <row r="105" spans="2:14" x14ac:dyDescent="0.25">
      <c r="B105" s="119" t="s">
        <v>90</v>
      </c>
      <c r="C105" s="198">
        <v>0.1331</v>
      </c>
      <c r="D105" s="121"/>
      <c r="E105" s="198">
        <v>0.38450000000000001</v>
      </c>
      <c r="F105" s="121">
        <f t="shared" si="11"/>
        <v>1.8888054094665665</v>
      </c>
      <c r="G105" s="198">
        <v>0.54090000000000005</v>
      </c>
      <c r="H105" s="121">
        <f t="shared" si="11"/>
        <v>0.40676202860858268</v>
      </c>
      <c r="I105" s="198">
        <v>0.59689999999999999</v>
      </c>
      <c r="J105" s="121">
        <f t="shared" si="11"/>
        <v>0.10353115178406358</v>
      </c>
      <c r="K105" s="198">
        <v>0.63200000000000001</v>
      </c>
      <c r="L105" s="121">
        <f t="shared" si="12"/>
        <v>5.8803819735299134E-2</v>
      </c>
      <c r="M105" s="198">
        <v>0.67669999999999997</v>
      </c>
      <c r="N105" s="121">
        <f t="shared" si="13"/>
        <v>7.0727848101265867E-2</v>
      </c>
    </row>
    <row r="106" spans="2:14" x14ac:dyDescent="0.25">
      <c r="B106" s="119" t="s">
        <v>92</v>
      </c>
      <c r="C106" s="198">
        <v>0.13819999999999999</v>
      </c>
      <c r="D106" s="121"/>
      <c r="E106" s="198">
        <v>0.48170000000000002</v>
      </c>
      <c r="F106" s="121">
        <f t="shared" si="11"/>
        <v>2.4855282199710569</v>
      </c>
      <c r="G106" s="198">
        <v>0.57399999999999995</v>
      </c>
      <c r="H106" s="121">
        <f t="shared" si="11"/>
        <v>0.19161303716005795</v>
      </c>
      <c r="I106" s="198">
        <v>0.67</v>
      </c>
      <c r="J106" s="121">
        <f t="shared" si="11"/>
        <v>0.16724738675958206</v>
      </c>
      <c r="K106" s="198">
        <v>0.68180000000000007</v>
      </c>
      <c r="L106" s="121">
        <f t="shared" si="12"/>
        <v>1.7611940298507545E-2</v>
      </c>
      <c r="M106" s="198">
        <v>0.70450000000000002</v>
      </c>
      <c r="N106" s="121">
        <f t="shared" si="13"/>
        <v>3.3294221179231309E-2</v>
      </c>
    </row>
    <row r="107" spans="2:14" x14ac:dyDescent="0.25">
      <c r="B107" s="119" t="s">
        <v>94</v>
      </c>
      <c r="C107" s="198">
        <v>0.16600000000000001</v>
      </c>
      <c r="D107" s="121"/>
      <c r="E107" s="198">
        <v>0.55799999999999994</v>
      </c>
      <c r="F107" s="121">
        <f t="shared" si="11"/>
        <v>2.3614457831325297</v>
      </c>
      <c r="G107" s="198">
        <v>0.59920000000000007</v>
      </c>
      <c r="H107" s="121">
        <f t="shared" si="11"/>
        <v>7.3835125448028949E-2</v>
      </c>
      <c r="I107" s="198">
        <v>0.68140000000000001</v>
      </c>
      <c r="J107" s="121">
        <f t="shared" si="11"/>
        <v>0.13718291054739651</v>
      </c>
      <c r="K107" s="198">
        <v>0.68409999999999993</v>
      </c>
      <c r="L107" s="121">
        <f t="shared" si="12"/>
        <v>3.9624302905780784E-3</v>
      </c>
      <c r="M107" s="198">
        <v>0.66819999999999991</v>
      </c>
      <c r="N107" s="121">
        <f t="shared" si="13"/>
        <v>-2.3242216050285092E-2</v>
      </c>
    </row>
    <row r="108" spans="2:14" x14ac:dyDescent="0.25">
      <c r="B108" s="119" t="s">
        <v>96</v>
      </c>
      <c r="C108" s="198">
        <v>0.17100000000000001</v>
      </c>
      <c r="D108" s="121"/>
      <c r="E108" s="198">
        <v>0.49049999999999999</v>
      </c>
      <c r="F108" s="121">
        <f t="shared" si="11"/>
        <v>1.8684210526315788</v>
      </c>
      <c r="G108" s="198">
        <v>0.19070000000000001</v>
      </c>
      <c r="H108" s="121">
        <f t="shared" si="11"/>
        <v>-0.61121304791029551</v>
      </c>
      <c r="I108" s="198">
        <v>0.6583</v>
      </c>
      <c r="J108" s="121">
        <f t="shared" si="11"/>
        <v>2.452018877818563</v>
      </c>
      <c r="K108" s="198">
        <v>0.68889999999999996</v>
      </c>
      <c r="L108" s="121">
        <f t="shared" si="12"/>
        <v>4.6483366246392155E-2</v>
      </c>
      <c r="M108" s="198">
        <v>0.67400000000000004</v>
      </c>
      <c r="N108" s="121">
        <f t="shared" si="13"/>
        <v>-2.1628683408332017E-2</v>
      </c>
    </row>
    <row r="109" spans="2:14" ht="15.75" x14ac:dyDescent="0.25">
      <c r="B109" s="122" t="s">
        <v>33</v>
      </c>
      <c r="C109" s="205">
        <f>IFERROR(AVERAGE(C97:C108),"-")</f>
        <v>0.20132499999999998</v>
      </c>
      <c r="D109" s="124"/>
      <c r="E109" s="205">
        <f>IFERROR(AVERAGE(E97:E108),"-")</f>
        <v>0.29145833333333332</v>
      </c>
      <c r="F109" s="124">
        <f t="shared" si="11"/>
        <v>0.4477006498613354</v>
      </c>
      <c r="G109" s="205">
        <f>IFERROR(AVERAGE(G97:G108),"-")</f>
        <v>0.55055833333333326</v>
      </c>
      <c r="H109" s="124">
        <f t="shared" si="11"/>
        <v>0.88897784131522495</v>
      </c>
      <c r="I109" s="205">
        <f>IFERROR(AVERAGE(I97:I108),"-")</f>
        <v>0.62949166666666667</v>
      </c>
      <c r="J109" s="124">
        <f t="shared" si="11"/>
        <v>0.14336960963870027</v>
      </c>
      <c r="K109" s="205">
        <f>IFERROR(AVERAGE(K97:K108),"-")</f>
        <v>0.69010000000000005</v>
      </c>
      <c r="L109" s="124">
        <f t="shared" si="12"/>
        <v>9.6281391069513722E-2</v>
      </c>
      <c r="M109" s="205">
        <f>IFERROR(AVERAGE(M97:M108),"-")</f>
        <v>0.69471666666666676</v>
      </c>
      <c r="N109" s="124">
        <f>IFERROR(M109/K109-1,"-")</f>
        <v>6.6898517123124002E-3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201"/>
      <c r="K112" s="201"/>
      <c r="L112" s="201"/>
    </row>
  </sheetData>
  <mergeCells count="17">
    <mergeCell ref="B4:N4"/>
    <mergeCell ref="C6:N6"/>
    <mergeCell ref="C7:D7"/>
    <mergeCell ref="E7:F7"/>
    <mergeCell ref="G7:H7"/>
    <mergeCell ref="I7:J7"/>
    <mergeCell ref="K7:L7"/>
    <mergeCell ref="M7:N7"/>
    <mergeCell ref="C72:N72"/>
    <mergeCell ref="B92:N92"/>
    <mergeCell ref="C94:N94"/>
    <mergeCell ref="O21:O24"/>
    <mergeCell ref="B26:N26"/>
    <mergeCell ref="C28:N28"/>
    <mergeCell ref="B48:N48"/>
    <mergeCell ref="C50:N50"/>
    <mergeCell ref="B70:N70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FCC0A-4B77-407C-93A7-BA63D7A296D7}">
  <sheetPr>
    <tabColor theme="2" tint="-0.499984740745262"/>
  </sheetPr>
  <dimension ref="B4:B25"/>
  <sheetViews>
    <sheetView showGridLines="0" workbookViewId="0">
      <selection activeCell="H9" sqref="H9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763BE-5C09-43CB-A407-8015562A281C}">
  <sheetPr>
    <tabColor theme="2" tint="-9.9978637043366805E-2"/>
  </sheetPr>
  <dimension ref="B1:AW44"/>
  <sheetViews>
    <sheetView showGridLines="0" topLeftCell="A18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24" customWidth="1"/>
    <col min="3" max="3" width="13.42578125" customWidth="1"/>
    <col min="4" max="4" width="16" customWidth="1"/>
    <col min="5" max="5" width="18.42578125" customWidth="1"/>
    <col min="6" max="6" width="15.42578125" customWidth="1"/>
    <col min="7" max="7" width="16.42578125" customWidth="1"/>
    <col min="8" max="8" width="16" customWidth="1"/>
    <col min="9" max="9" width="11" customWidth="1"/>
    <col min="10" max="10" width="13.85546875" customWidth="1"/>
    <col min="11" max="11" width="11" customWidth="1"/>
    <col min="12" max="14" width="11.42578125" customWidth="1"/>
    <col min="16" max="16" width="25" customWidth="1"/>
    <col min="17" max="17" width="11.28515625" customWidth="1"/>
    <col min="18" max="18" width="14.85546875" customWidth="1"/>
    <col min="19" max="19" width="14.42578125" customWidth="1"/>
    <col min="20" max="21" width="14.28515625" customWidth="1"/>
    <col min="22" max="22" width="14.42578125" customWidth="1"/>
    <col min="23" max="23" width="15" customWidth="1"/>
    <col min="24" max="24" width="11.42578125" customWidth="1"/>
    <col min="25" max="25" width="14.85546875" customWidth="1"/>
    <col min="26" max="26" width="11.42578125" customWidth="1"/>
    <col min="27" max="27" width="12.42578125" customWidth="1"/>
    <col min="28" max="28" width="10.85546875" customWidth="1"/>
    <col min="29" max="29" width="9.85546875" customWidth="1"/>
    <col min="30" max="30" width="14.5703125" customWidth="1"/>
    <col min="31" max="31" width="28.42578125" customWidth="1"/>
    <col min="32" max="36" width="17.7109375" customWidth="1"/>
    <col min="37" max="37" width="15.7109375" customWidth="1"/>
    <col min="38" max="38" width="14.140625" customWidth="1"/>
    <col min="39" max="39" width="14" customWidth="1"/>
    <col min="40" max="44" width="14.42578125" hidden="1" customWidth="1"/>
    <col min="45" max="45" width="9.85546875" hidden="1" customWidth="1"/>
    <col min="46" max="46" width="13" hidden="1" customWidth="1"/>
    <col min="47" max="47" width="9.5703125" hidden="1" customWidth="1"/>
    <col min="48" max="48" width="11.85546875" hidden="1" customWidth="1"/>
    <col min="49" max="49" width="9" hidden="1" customWidth="1"/>
  </cols>
  <sheetData>
    <row r="1" spans="2:48" ht="42.75" customHeight="1" x14ac:dyDescent="0.25"/>
    <row r="3" spans="2:48" x14ac:dyDescent="0.25">
      <c r="N3" s="206"/>
    </row>
    <row r="5" spans="2:48" ht="50.25" customHeight="1" thickBot="1" x14ac:dyDescent="0.3">
      <c r="B5" s="283" t="s">
        <v>168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P5" s="283" t="s">
        <v>169</v>
      </c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D5" s="283" t="s">
        <v>170</v>
      </c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146"/>
      <c r="AV5" s="146"/>
    </row>
    <row r="6" spans="2:48" ht="6" customHeight="1" thickBot="1" x14ac:dyDescent="0.3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6"/>
      <c r="N6" s="86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6"/>
      <c r="AB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</row>
    <row r="7" spans="2:48" ht="51.75" customHeight="1" thickBot="1" x14ac:dyDescent="0.3">
      <c r="B7" s="87"/>
      <c r="C7" s="207" t="s">
        <v>268</v>
      </c>
      <c r="D7" s="207" t="s">
        <v>269</v>
      </c>
      <c r="E7" s="207" t="s">
        <v>270</v>
      </c>
      <c r="F7" s="92" t="s">
        <v>271</v>
      </c>
      <c r="G7" s="92" t="s">
        <v>272</v>
      </c>
      <c r="H7" s="14" t="str">
        <f>CONCATENATE("var. ",RIGHT(G7,2),"/",RIGHT(F7,2))</f>
        <v>var. 25/24</v>
      </c>
      <c r="I7" s="207" t="s">
        <v>231</v>
      </c>
      <c r="J7" s="208" t="s">
        <v>232</v>
      </c>
      <c r="K7" s="208" t="s">
        <v>233</v>
      </c>
      <c r="L7" s="13" t="s">
        <v>234</v>
      </c>
      <c r="M7" s="13" t="s">
        <v>235</v>
      </c>
      <c r="N7" s="14" t="str">
        <f>CONCATENATE("var. ",RIGHT(M7,2),"/",RIGHT(L7,2))</f>
        <v>var. 25/24</v>
      </c>
      <c r="P7" s="87"/>
      <c r="Q7" s="207" t="s">
        <v>268</v>
      </c>
      <c r="R7" s="208" t="s">
        <v>269</v>
      </c>
      <c r="S7" s="208" t="s">
        <v>270</v>
      </c>
      <c r="T7" s="92" t="s">
        <v>271</v>
      </c>
      <c r="U7" s="92" t="s">
        <v>272</v>
      </c>
      <c r="V7" s="14" t="str">
        <f>CONCATENATE("var. ",RIGHT(U7,2),"/",RIGHT(T7,2))</f>
        <v>var. 25/24</v>
      </c>
      <c r="W7" s="207" t="s">
        <v>231</v>
      </c>
      <c r="X7" s="207" t="s">
        <v>232</v>
      </c>
      <c r="Y7" s="207" t="s">
        <v>233</v>
      </c>
      <c r="Z7" s="13" t="s">
        <v>234</v>
      </c>
      <c r="AA7" s="13" t="s">
        <v>235</v>
      </c>
      <c r="AB7" s="14" t="str">
        <f>CONCATENATE("var. ",RIGHT(AA7,2),"/",RIGHT(Z7,2))</f>
        <v>var. 25/24</v>
      </c>
      <c r="AD7" s="87"/>
      <c r="AE7" s="207" t="s">
        <v>268</v>
      </c>
      <c r="AF7" s="208" t="s">
        <v>269</v>
      </c>
      <c r="AG7" s="208" t="s">
        <v>270</v>
      </c>
      <c r="AH7" s="92" t="s">
        <v>271</v>
      </c>
      <c r="AI7" s="92" t="s">
        <v>272</v>
      </c>
      <c r="AJ7" s="14" t="str">
        <f>CONCATENATE("var. ",RIGHT(AI7,2),"/",RIGHT(AH7,2))</f>
        <v>var. 25/24</v>
      </c>
      <c r="AK7" s="209" t="str">
        <f>CONCATENATE("dif. ",RIGHT(AI7,2),"/",RIGHT(AH7,2))</f>
        <v>dif. 25/24</v>
      </c>
      <c r="AL7" s="210" t="str">
        <f>CONCATENATE("cuota ",RIGHT(AI7,2))</f>
        <v>cuota 25</v>
      </c>
      <c r="AM7" s="207" t="s">
        <v>231</v>
      </c>
      <c r="AN7" s="208" t="s">
        <v>232</v>
      </c>
      <c r="AO7" s="208" t="s">
        <v>233</v>
      </c>
      <c r="AP7" s="13" t="s">
        <v>234</v>
      </c>
      <c r="AQ7" s="13" t="s">
        <v>235</v>
      </c>
      <c r="AR7" s="14" t="str">
        <f>CONCATENATE("var. ",RIGHT(AQ7,2),"/",RIGHT(AP7,2))</f>
        <v>var. 25/24</v>
      </c>
      <c r="AS7" s="209" t="str">
        <f>CONCATENATE("dif. ",RIGHT(AQ7,2),"/",RIGHT(AP7,2))</f>
        <v>dif. 25/24</v>
      </c>
      <c r="AT7" s="209" t="str">
        <f>CONCATENATE("var. ",RIGHT(AQ7,2),"/",RIGHT(AM7,2))</f>
        <v>var. 25/21</v>
      </c>
      <c r="AU7" s="209" t="str">
        <f>CONCATENATE("dif. ",RIGHT(AQ7,2),"/",RIGHT(AM7,2))</f>
        <v>dif. 25/21</v>
      </c>
      <c r="AV7" s="210" t="str">
        <f>CONCATENATE("cuota ",RIGHT(AQ7,2))</f>
        <v>cuota 25</v>
      </c>
    </row>
    <row r="8" spans="2:48" ht="15.75" x14ac:dyDescent="0.25">
      <c r="B8" s="211" t="s">
        <v>46</v>
      </c>
      <c r="C8" s="212">
        <v>99.070374137305933</v>
      </c>
      <c r="D8" s="213">
        <v>105.42414346126817</v>
      </c>
      <c r="E8" s="213">
        <v>114.03871165784842</v>
      </c>
      <c r="F8" s="214">
        <v>125.23705264534608</v>
      </c>
      <c r="G8" s="213">
        <v>132.82074243728238</v>
      </c>
      <c r="H8" s="136">
        <f>G8/F8-1</f>
        <v>6.05546811566402E-2</v>
      </c>
      <c r="I8" s="212">
        <v>111.99</v>
      </c>
      <c r="J8" s="215">
        <v>116.38</v>
      </c>
      <c r="K8" s="215">
        <v>134.74</v>
      </c>
      <c r="L8" s="215">
        <v>147.38</v>
      </c>
      <c r="M8" s="215">
        <v>158.74</v>
      </c>
      <c r="N8" s="136">
        <f t="shared" ref="N8:N18" si="0">M8/L8-1</f>
        <v>7.7079658026869335E-2</v>
      </c>
      <c r="P8" s="211" t="s">
        <v>46</v>
      </c>
      <c r="Q8" s="212">
        <v>53.001784056189841</v>
      </c>
      <c r="R8" s="214">
        <v>80.490748706663751</v>
      </c>
      <c r="S8" s="214">
        <v>93.356814911835571</v>
      </c>
      <c r="T8" s="214">
        <v>104.70965483764613</v>
      </c>
      <c r="U8" s="214">
        <v>109.91532187389272</v>
      </c>
      <c r="V8" s="136">
        <f t="shared" ref="V8:V18" si="1">U8/T8-1</f>
        <v>4.9715253520012714E-2</v>
      </c>
      <c r="W8" s="212">
        <v>73.5</v>
      </c>
      <c r="X8" s="215">
        <v>93.77</v>
      </c>
      <c r="Y8" s="215">
        <v>112.26</v>
      </c>
      <c r="Z8" s="215">
        <v>122</v>
      </c>
      <c r="AA8" s="215">
        <v>128.13</v>
      </c>
      <c r="AB8" s="136">
        <f t="shared" ref="AB8:AB18" si="2">AA8/Z8-1</f>
        <v>5.024590163934417E-2</v>
      </c>
      <c r="AD8" s="65" t="s">
        <v>46</v>
      </c>
      <c r="AE8" s="216">
        <v>651901800.16999996</v>
      </c>
      <c r="AF8" s="135">
        <v>1555257583.6799998</v>
      </c>
      <c r="AG8" s="135">
        <v>1802709096.52</v>
      </c>
      <c r="AH8" s="135">
        <v>2047521372.4100003</v>
      </c>
      <c r="AI8" s="135">
        <v>2121285463.5800002</v>
      </c>
      <c r="AJ8" s="136">
        <f t="shared" ref="AJ8:AJ18" si="3">AI8/AH8-1</f>
        <v>3.6026042103373568E-2</v>
      </c>
      <c r="AK8" s="135">
        <f>AI8-AH8</f>
        <v>73764091.169999838</v>
      </c>
      <c r="AL8" s="137">
        <f t="shared" ref="AL8:AL18" si="4">AI8/AI$8</f>
        <v>1</v>
      </c>
      <c r="AM8" s="217">
        <v>112654528.58</v>
      </c>
      <c r="AN8" s="218">
        <v>188519361.48000002</v>
      </c>
      <c r="AO8" s="218">
        <v>185473162.13</v>
      </c>
      <c r="AP8" s="218">
        <v>204526025.20999998</v>
      </c>
      <c r="AQ8" s="218">
        <v>215966519.51000002</v>
      </c>
      <c r="AR8" s="136">
        <f t="shared" ref="AR8:AR18" si="5">AQ8/AP8-1</f>
        <v>5.5936618766503354E-2</v>
      </c>
      <c r="AS8" s="135">
        <f t="shared" ref="AS8:AS18" si="6">AQ8-AP8</f>
        <v>11440494.300000042</v>
      </c>
      <c r="AT8" s="136">
        <f t="shared" ref="AT8:AT18" si="7">AQ8/AM8-1</f>
        <v>0.91706913368009424</v>
      </c>
      <c r="AU8" s="135">
        <f t="shared" ref="AU8:AU18" si="8">AQ8-AM8</f>
        <v>103311990.93000002</v>
      </c>
      <c r="AV8" s="137">
        <f t="shared" ref="AV8:AV18" si="9">AQ8/AQ$8</f>
        <v>1</v>
      </c>
    </row>
    <row r="9" spans="2:48" x14ac:dyDescent="0.25">
      <c r="B9" s="15" t="s">
        <v>47</v>
      </c>
      <c r="C9" s="219">
        <v>126.4924793172348</v>
      </c>
      <c r="D9" s="220">
        <v>130.61694623050346</v>
      </c>
      <c r="E9" s="220">
        <v>138.91331182052866</v>
      </c>
      <c r="F9" s="220">
        <v>151.51635734394122</v>
      </c>
      <c r="G9" s="220">
        <v>159.2163249074674</v>
      </c>
      <c r="H9" s="76">
        <f>G9/F9-1</f>
        <v>5.0819381474749292E-2</v>
      </c>
      <c r="I9" s="219">
        <v>146</v>
      </c>
      <c r="J9" s="220">
        <v>145.80000000000001</v>
      </c>
      <c r="K9" s="220">
        <v>169.17</v>
      </c>
      <c r="L9" s="220">
        <v>182.9</v>
      </c>
      <c r="M9" s="220">
        <v>190.45</v>
      </c>
      <c r="N9" s="76">
        <f t="shared" si="0"/>
        <v>4.1279387643520904E-2</v>
      </c>
      <c r="P9" s="15" t="s">
        <v>47</v>
      </c>
      <c r="Q9" s="219">
        <v>72.885296002153325</v>
      </c>
      <c r="R9" s="220">
        <v>107.39938502273333</v>
      </c>
      <c r="S9" s="220">
        <v>119.27672202750968</v>
      </c>
      <c r="T9" s="220">
        <v>131.20310080883954</v>
      </c>
      <c r="U9" s="220">
        <v>135.62201936317294</v>
      </c>
      <c r="V9" s="76">
        <f t="shared" si="1"/>
        <v>3.3679985664147427E-2</v>
      </c>
      <c r="W9" s="219">
        <v>100.66</v>
      </c>
      <c r="X9" s="220">
        <v>123.19</v>
      </c>
      <c r="Y9" s="220">
        <v>145.85</v>
      </c>
      <c r="Z9" s="220">
        <v>155.86000000000001</v>
      </c>
      <c r="AA9" s="220">
        <v>156.93</v>
      </c>
      <c r="AB9" s="76">
        <f t="shared" si="2"/>
        <v>6.8651353779032309E-3</v>
      </c>
      <c r="AD9" s="15" t="s">
        <v>47</v>
      </c>
      <c r="AE9" s="221">
        <v>333738906.95000005</v>
      </c>
      <c r="AF9" s="54">
        <v>752084605.12</v>
      </c>
      <c r="AG9" s="54">
        <v>857198465.50999999</v>
      </c>
      <c r="AH9" s="54">
        <v>951397748.66999996</v>
      </c>
      <c r="AI9" s="54">
        <v>944420621.81999993</v>
      </c>
      <c r="AJ9" s="76">
        <f t="shared" si="3"/>
        <v>-7.3335540889745143E-3</v>
      </c>
      <c r="AK9" s="54">
        <f t="shared" ref="AK9:AK18" si="10">AI9-AH9</f>
        <v>-6977126.8500000238</v>
      </c>
      <c r="AL9" s="100">
        <f t="shared" si="4"/>
        <v>0.44521147107949477</v>
      </c>
      <c r="AM9" s="222">
        <v>56964438.869999997</v>
      </c>
      <c r="AN9" s="223">
        <v>87422419.100000009</v>
      </c>
      <c r="AO9" s="223">
        <v>90342204.140000001</v>
      </c>
      <c r="AP9" s="223">
        <v>96925753.5</v>
      </c>
      <c r="AQ9" s="223">
        <v>98459842.150000006</v>
      </c>
      <c r="AR9" s="76">
        <f t="shared" si="5"/>
        <v>1.582746168695004E-2</v>
      </c>
      <c r="AS9" s="54">
        <f t="shared" si="6"/>
        <v>1534088.650000006</v>
      </c>
      <c r="AT9" s="76">
        <f t="shared" si="7"/>
        <v>0.72844399248270886</v>
      </c>
      <c r="AU9" s="54">
        <f t="shared" si="8"/>
        <v>41495403.280000009</v>
      </c>
      <c r="AV9" s="100">
        <f t="shared" si="9"/>
        <v>0.4559032685871523</v>
      </c>
    </row>
    <row r="10" spans="2:48" x14ac:dyDescent="0.25">
      <c r="B10" s="19" t="s">
        <v>48</v>
      </c>
      <c r="C10" s="219">
        <v>85.868326715060263</v>
      </c>
      <c r="D10" s="220">
        <v>93.537760359726434</v>
      </c>
      <c r="E10" s="220">
        <v>101.29966836958138</v>
      </c>
      <c r="F10" s="220">
        <v>115.83489711640347</v>
      </c>
      <c r="G10" s="220">
        <v>124.52145269847821</v>
      </c>
      <c r="H10" s="76">
        <f>G10/F10-1</f>
        <v>7.499083435405085E-2</v>
      </c>
      <c r="I10" s="219">
        <v>97.51</v>
      </c>
      <c r="J10" s="220">
        <v>103.53</v>
      </c>
      <c r="K10" s="220">
        <v>117.63</v>
      </c>
      <c r="L10" s="220">
        <v>133.58000000000001</v>
      </c>
      <c r="M10" s="220">
        <v>140.88999999999999</v>
      </c>
      <c r="N10" s="76">
        <f t="shared" si="0"/>
        <v>5.4723761042071883E-2</v>
      </c>
      <c r="P10" s="19" t="s">
        <v>48</v>
      </c>
      <c r="Q10" s="219">
        <v>43.135160233694258</v>
      </c>
      <c r="R10" s="220">
        <v>71.356736442774647</v>
      </c>
      <c r="S10" s="220">
        <v>83.793599252483503</v>
      </c>
      <c r="T10" s="220">
        <v>97.146540320416378</v>
      </c>
      <c r="U10" s="220">
        <v>103.04621757057696</v>
      </c>
      <c r="V10" s="76">
        <f t="shared" si="1"/>
        <v>6.0729669123592123E-2</v>
      </c>
      <c r="W10" s="219">
        <v>64.5</v>
      </c>
      <c r="X10" s="220">
        <v>83.2</v>
      </c>
      <c r="Y10" s="220">
        <v>99.84</v>
      </c>
      <c r="Z10" s="220">
        <v>109.82</v>
      </c>
      <c r="AA10" s="220">
        <v>114.16</v>
      </c>
      <c r="AB10" s="76">
        <f t="shared" si="2"/>
        <v>3.9519213258058628E-2</v>
      </c>
      <c r="AD10" s="19" t="s">
        <v>48</v>
      </c>
      <c r="AE10" s="221">
        <v>137154616.22999999</v>
      </c>
      <c r="AF10" s="54">
        <v>393041904.13000005</v>
      </c>
      <c r="AG10" s="54">
        <v>437659233.54000002</v>
      </c>
      <c r="AH10" s="54">
        <v>514533652.09999996</v>
      </c>
      <c r="AI10" s="54">
        <v>542697009.58000004</v>
      </c>
      <c r="AJ10" s="76">
        <f t="shared" si="3"/>
        <v>5.4735695838464826E-2</v>
      </c>
      <c r="AK10" s="54">
        <f t="shared" si="10"/>
        <v>28163357.480000079</v>
      </c>
      <c r="AL10" s="100">
        <f t="shared" si="4"/>
        <v>0.25583403030731855</v>
      </c>
      <c r="AM10" s="222">
        <v>27157130.799999997</v>
      </c>
      <c r="AN10" s="223">
        <v>51928232.159999996</v>
      </c>
      <c r="AO10" s="223">
        <v>43919798.770000003</v>
      </c>
      <c r="AP10" s="223">
        <v>50077639.430000007</v>
      </c>
      <c r="AQ10" s="223">
        <v>50770389.480000004</v>
      </c>
      <c r="AR10" s="76">
        <f t="shared" si="5"/>
        <v>1.3833520467120719E-2</v>
      </c>
      <c r="AS10" s="54">
        <f t="shared" si="6"/>
        <v>692750.04999999702</v>
      </c>
      <c r="AT10" s="76">
        <f t="shared" si="7"/>
        <v>0.86950491397272378</v>
      </c>
      <c r="AU10" s="54">
        <f t="shared" si="8"/>
        <v>23613258.680000007</v>
      </c>
      <c r="AV10" s="100">
        <f t="shared" si="9"/>
        <v>0.23508453808114066</v>
      </c>
    </row>
    <row r="11" spans="2:48" x14ac:dyDescent="0.25">
      <c r="B11" s="19" t="s">
        <v>49</v>
      </c>
      <c r="C11" s="219">
        <v>66.405712635274313</v>
      </c>
      <c r="D11" s="220">
        <v>77.454049751796433</v>
      </c>
      <c r="E11" s="220">
        <v>80.177661819728925</v>
      </c>
      <c r="F11" s="220">
        <v>87.938226508014225</v>
      </c>
      <c r="G11" s="220">
        <v>99.822933598878024</v>
      </c>
      <c r="H11" s="76">
        <f>G11/F11-1</f>
        <v>0.13514835996585273</v>
      </c>
      <c r="I11" s="219">
        <v>79.7</v>
      </c>
      <c r="J11" s="220">
        <v>104.36</v>
      </c>
      <c r="K11" s="220">
        <v>82.46</v>
      </c>
      <c r="L11" s="220">
        <v>104.69</v>
      </c>
      <c r="M11" s="220">
        <v>126.02</v>
      </c>
      <c r="N11" s="76">
        <f t="shared" si="0"/>
        <v>0.20374438819371488</v>
      </c>
      <c r="P11" s="19" t="s">
        <v>49</v>
      </c>
      <c r="Q11" s="219">
        <v>36.919917978994341</v>
      </c>
      <c r="R11" s="220">
        <v>53.905335669362643</v>
      </c>
      <c r="S11" s="220">
        <v>54.695924406713544</v>
      </c>
      <c r="T11" s="220">
        <v>63.158818863848289</v>
      </c>
      <c r="U11" s="220">
        <v>68.969507627601203</v>
      </c>
      <c r="V11" s="76">
        <f t="shared" si="1"/>
        <v>9.2001225929811081E-2</v>
      </c>
      <c r="W11" s="219">
        <v>63.6</v>
      </c>
      <c r="X11" s="220">
        <v>83.93</v>
      </c>
      <c r="Y11" s="220">
        <v>69.98</v>
      </c>
      <c r="Z11" s="220">
        <v>84.35</v>
      </c>
      <c r="AA11" s="220">
        <v>93.34</v>
      </c>
      <c r="AB11" s="76">
        <f t="shared" si="2"/>
        <v>0.10657972732661536</v>
      </c>
      <c r="AD11" s="19" t="s">
        <v>49</v>
      </c>
      <c r="AE11" s="221">
        <v>4381169.1700000009</v>
      </c>
      <c r="AF11" s="54">
        <v>8189647.9699999997</v>
      </c>
      <c r="AG11" s="54">
        <v>8858381.8100000005</v>
      </c>
      <c r="AH11" s="54">
        <v>10237092.01</v>
      </c>
      <c r="AI11" s="54">
        <v>11416716.540000001</v>
      </c>
      <c r="AJ11" s="76">
        <f t="shared" si="3"/>
        <v>0.11523043153736401</v>
      </c>
      <c r="AK11" s="54">
        <f t="shared" si="10"/>
        <v>1179624.5300000012</v>
      </c>
      <c r="AL11" s="100">
        <f t="shared" si="4"/>
        <v>5.3819802831875868E-3</v>
      </c>
      <c r="AM11" s="222">
        <v>764942.1100000001</v>
      </c>
      <c r="AN11" s="223">
        <v>1165564.01</v>
      </c>
      <c r="AO11" s="223">
        <v>976193.3899999999</v>
      </c>
      <c r="AP11" s="223">
        <v>1176697.21</v>
      </c>
      <c r="AQ11" s="223">
        <v>1322417.46</v>
      </c>
      <c r="AR11" s="76">
        <f t="shared" si="5"/>
        <v>0.12383835770291318</v>
      </c>
      <c r="AS11" s="54">
        <f t="shared" si="6"/>
        <v>145720.25</v>
      </c>
      <c r="AT11" s="76">
        <f t="shared" si="7"/>
        <v>0.72878109691202608</v>
      </c>
      <c r="AU11" s="54">
        <f t="shared" si="8"/>
        <v>557475.34999999986</v>
      </c>
      <c r="AV11" s="100">
        <f t="shared" si="9"/>
        <v>6.1232521735331636E-3</v>
      </c>
    </row>
    <row r="12" spans="2:48" x14ac:dyDescent="0.25">
      <c r="B12" s="19" t="s">
        <v>50</v>
      </c>
      <c r="C12" s="219">
        <v>154.08223754112092</v>
      </c>
      <c r="D12" s="220">
        <v>186.74525626637188</v>
      </c>
      <c r="E12" s="220">
        <v>211.20463883066333</v>
      </c>
      <c r="F12" s="220">
        <v>199.41255610931711</v>
      </c>
      <c r="G12" s="220">
        <v>220.57544939953681</v>
      </c>
      <c r="H12" s="76">
        <f t="shared" ref="H12:H18" si="11">G12/F12-1</f>
        <v>0.10612618233837945</v>
      </c>
      <c r="I12" s="219">
        <v>144.69</v>
      </c>
      <c r="J12" s="220">
        <v>186.46</v>
      </c>
      <c r="K12" s="220">
        <v>291.81</v>
      </c>
      <c r="L12" s="220">
        <v>265.04000000000002</v>
      </c>
      <c r="M12" s="220">
        <v>327.44</v>
      </c>
      <c r="N12" s="76">
        <f t="shared" si="0"/>
        <v>0.23543616057953498</v>
      </c>
      <c r="P12" s="19" t="s">
        <v>50</v>
      </c>
      <c r="Q12" s="219">
        <v>46.126890002203055</v>
      </c>
      <c r="R12" s="220">
        <v>95.174529815992699</v>
      </c>
      <c r="S12" s="220">
        <v>117.35164061854991</v>
      </c>
      <c r="T12" s="220">
        <v>126.65575534835389</v>
      </c>
      <c r="U12" s="220">
        <v>163.08438933028648</v>
      </c>
      <c r="V12" s="76">
        <f t="shared" si="1"/>
        <v>0.28761925489875528</v>
      </c>
      <c r="W12" s="219">
        <v>49.85</v>
      </c>
      <c r="X12" s="220">
        <v>97.79</v>
      </c>
      <c r="Y12" s="220">
        <v>162.47</v>
      </c>
      <c r="Z12" s="220">
        <v>183.26</v>
      </c>
      <c r="AA12" s="220">
        <v>220.15</v>
      </c>
      <c r="AB12" s="76">
        <f t="shared" si="2"/>
        <v>0.20129870129870131</v>
      </c>
      <c r="AD12" s="19" t="s">
        <v>50</v>
      </c>
      <c r="AE12" s="221">
        <v>22694182.550000001</v>
      </c>
      <c r="AF12" s="54">
        <v>57363631.390000001</v>
      </c>
      <c r="AG12" s="54">
        <v>67682841.399999991</v>
      </c>
      <c r="AH12" s="54">
        <v>67200118.370000005</v>
      </c>
      <c r="AI12" s="54">
        <v>102919216.38999999</v>
      </c>
      <c r="AJ12" s="76">
        <f t="shared" si="3"/>
        <v>0.53153326045249916</v>
      </c>
      <c r="AK12" s="54">
        <f t="shared" si="10"/>
        <v>35719098.019999981</v>
      </c>
      <c r="AL12" s="100">
        <f t="shared" si="4"/>
        <v>4.8517381633449631E-2</v>
      </c>
      <c r="AM12" s="222">
        <v>2321220.91</v>
      </c>
      <c r="AN12" s="223">
        <v>5462846.4399999995</v>
      </c>
      <c r="AO12" s="223">
        <v>8310536.1900000004</v>
      </c>
      <c r="AP12" s="223">
        <v>9601164.7400000002</v>
      </c>
      <c r="AQ12" s="223">
        <v>14666059.18</v>
      </c>
      <c r="AR12" s="76">
        <f t="shared" si="5"/>
        <v>0.52752916725809662</v>
      </c>
      <c r="AS12" s="54">
        <f t="shared" si="6"/>
        <v>5064894.4399999995</v>
      </c>
      <c r="AT12" s="76">
        <f t="shared" si="7"/>
        <v>5.3182522252912152</v>
      </c>
      <c r="AU12" s="54">
        <f t="shared" si="8"/>
        <v>12344838.27</v>
      </c>
      <c r="AV12" s="100">
        <f t="shared" si="9"/>
        <v>6.7908948170648784E-2</v>
      </c>
    </row>
    <row r="13" spans="2:48" x14ac:dyDescent="0.25">
      <c r="B13" s="19" t="s">
        <v>51</v>
      </c>
      <c r="C13" s="219">
        <v>51.25441269264202</v>
      </c>
      <c r="D13" s="220">
        <v>59.10354779201478</v>
      </c>
      <c r="E13" s="220">
        <v>65.928054284899872</v>
      </c>
      <c r="F13" s="220">
        <v>74.608089555071174</v>
      </c>
      <c r="G13" s="220">
        <v>82.591991665930095</v>
      </c>
      <c r="H13" s="76">
        <f t="shared" si="11"/>
        <v>0.10701121230246335</v>
      </c>
      <c r="I13" s="219">
        <v>60.58</v>
      </c>
      <c r="J13" s="220">
        <v>70.28</v>
      </c>
      <c r="K13" s="220">
        <v>73.680000000000007</v>
      </c>
      <c r="L13" s="220">
        <v>85.21</v>
      </c>
      <c r="M13" s="220">
        <v>95.46</v>
      </c>
      <c r="N13" s="76">
        <f t="shared" si="0"/>
        <v>0.12029104565191884</v>
      </c>
      <c r="P13" s="19" t="s">
        <v>51</v>
      </c>
      <c r="Q13" s="219">
        <v>28.2349292823891</v>
      </c>
      <c r="R13" s="220">
        <v>42.126721180720359</v>
      </c>
      <c r="S13" s="220">
        <v>52.071915041647848</v>
      </c>
      <c r="T13" s="220">
        <v>61.365383519390406</v>
      </c>
      <c r="U13" s="220">
        <v>67.105144686949245</v>
      </c>
      <c r="V13" s="76">
        <f t="shared" si="1"/>
        <v>9.353418553548476E-2</v>
      </c>
      <c r="W13" s="219">
        <v>37.56</v>
      </c>
      <c r="X13" s="220">
        <v>55.24</v>
      </c>
      <c r="Y13" s="220">
        <v>60.51</v>
      </c>
      <c r="Z13" s="220">
        <v>70.42</v>
      </c>
      <c r="AA13" s="220">
        <v>76.03</v>
      </c>
      <c r="AB13" s="76">
        <f t="shared" si="2"/>
        <v>7.9664867935245631E-2</v>
      </c>
      <c r="AD13" s="19" t="s">
        <v>51</v>
      </c>
      <c r="AE13" s="221">
        <v>54944687.290000007</v>
      </c>
      <c r="AF13" s="54">
        <v>139714759.69</v>
      </c>
      <c r="AG13" s="54">
        <v>177906116.87</v>
      </c>
      <c r="AH13" s="54">
        <v>218084310.92000002</v>
      </c>
      <c r="AI13" s="54">
        <v>237061832.74000001</v>
      </c>
      <c r="AJ13" s="76">
        <f t="shared" si="3"/>
        <v>8.7019197942036053E-2</v>
      </c>
      <c r="AK13" s="54">
        <f t="shared" si="10"/>
        <v>18977521.819999993</v>
      </c>
      <c r="AL13" s="100">
        <f t="shared" si="4"/>
        <v>0.11175385718239034</v>
      </c>
      <c r="AM13" s="222">
        <v>9771388.4399999995</v>
      </c>
      <c r="AN13" s="223">
        <v>19097657.25</v>
      </c>
      <c r="AO13" s="223">
        <v>17745881.100000001</v>
      </c>
      <c r="AP13" s="223">
        <v>20986515.460000001</v>
      </c>
      <c r="AQ13" s="223">
        <v>22896484.900000002</v>
      </c>
      <c r="AR13" s="76">
        <f t="shared" si="5"/>
        <v>9.100936473424448E-2</v>
      </c>
      <c r="AS13" s="54">
        <f t="shared" si="6"/>
        <v>1909969.4400000013</v>
      </c>
      <c r="AT13" s="76">
        <f t="shared" si="7"/>
        <v>1.3432171426397623</v>
      </c>
      <c r="AU13" s="54">
        <f t="shared" si="8"/>
        <v>13125096.460000003</v>
      </c>
      <c r="AV13" s="100">
        <f t="shared" si="9"/>
        <v>0.10601867804300941</v>
      </c>
    </row>
    <row r="14" spans="2:48" x14ac:dyDescent="0.25">
      <c r="B14" s="19" t="s">
        <v>52</v>
      </c>
      <c r="C14" s="219">
        <v>84.443882815672353</v>
      </c>
      <c r="D14" s="220">
        <v>89.447012067673299</v>
      </c>
      <c r="E14" s="220">
        <v>98.49828593590648</v>
      </c>
      <c r="F14" s="220">
        <v>108.49628294460496</v>
      </c>
      <c r="G14" s="220">
        <v>115.69446930480763</v>
      </c>
      <c r="H14" s="76">
        <f t="shared" si="11"/>
        <v>6.6345004315750078E-2</v>
      </c>
      <c r="I14" s="219">
        <v>93.28</v>
      </c>
      <c r="J14" s="220">
        <v>104.36</v>
      </c>
      <c r="K14" s="220">
        <v>114.69</v>
      </c>
      <c r="L14" s="220">
        <v>124.91</v>
      </c>
      <c r="M14" s="220">
        <v>130.72999999999999</v>
      </c>
      <c r="N14" s="76">
        <f t="shared" si="0"/>
        <v>4.6593547354094822E-2</v>
      </c>
      <c r="P14" s="19" t="s">
        <v>52</v>
      </c>
      <c r="Q14" s="219">
        <v>45.63157218455197</v>
      </c>
      <c r="R14" s="220">
        <v>64.643902351985275</v>
      </c>
      <c r="S14" s="220">
        <v>73.616138654057124</v>
      </c>
      <c r="T14" s="220">
        <v>81.853276487790453</v>
      </c>
      <c r="U14" s="220">
        <v>88.51781486259857</v>
      </c>
      <c r="V14" s="76">
        <f t="shared" si="1"/>
        <v>8.142054491614914E-2</v>
      </c>
      <c r="W14" s="219">
        <v>66.599999999999994</v>
      </c>
      <c r="X14" s="220">
        <v>72.19</v>
      </c>
      <c r="Y14" s="220">
        <v>84.63</v>
      </c>
      <c r="Z14" s="220">
        <v>99.7</v>
      </c>
      <c r="AA14" s="220">
        <v>100.76</v>
      </c>
      <c r="AB14" s="76">
        <f t="shared" si="2"/>
        <v>1.0631895687061244E-2</v>
      </c>
      <c r="AD14" s="19" t="s">
        <v>52</v>
      </c>
      <c r="AE14" s="221">
        <v>4498900.4700000007</v>
      </c>
      <c r="AF14" s="54">
        <v>7864755.4400000004</v>
      </c>
      <c r="AG14" s="54">
        <v>9097368.1099999994</v>
      </c>
      <c r="AH14" s="54">
        <v>10277452.140000001</v>
      </c>
      <c r="AI14" s="54">
        <v>11114507.73</v>
      </c>
      <c r="AJ14" s="76">
        <f t="shared" si="3"/>
        <v>8.1445827097765378E-2</v>
      </c>
      <c r="AK14" s="54">
        <f t="shared" si="10"/>
        <v>837055.58999999985</v>
      </c>
      <c r="AL14" s="100">
        <f t="shared" si="4"/>
        <v>5.239515341439494E-3</v>
      </c>
      <c r="AM14" s="222">
        <v>652407.38</v>
      </c>
      <c r="AN14" s="223">
        <v>758667.03</v>
      </c>
      <c r="AO14" s="223">
        <v>902500.22</v>
      </c>
      <c r="AP14" s="223">
        <v>1063235.17</v>
      </c>
      <c r="AQ14" s="223">
        <v>1074553.3899999999</v>
      </c>
      <c r="AR14" s="76">
        <f t="shared" si="5"/>
        <v>1.0645076761333971E-2</v>
      </c>
      <c r="AS14" s="54">
        <f t="shared" si="6"/>
        <v>11318.219999999972</v>
      </c>
      <c r="AT14" s="76">
        <f t="shared" si="7"/>
        <v>0.6470589127915749</v>
      </c>
      <c r="AU14" s="54">
        <f t="shared" si="8"/>
        <v>422146.00999999989</v>
      </c>
      <c r="AV14" s="100">
        <f t="shared" si="9"/>
        <v>4.9755554353425801E-3</v>
      </c>
    </row>
    <row r="15" spans="2:48" x14ac:dyDescent="0.25">
      <c r="B15" s="19" t="s">
        <v>53</v>
      </c>
      <c r="C15" s="219">
        <v>125.31273906340711</v>
      </c>
      <c r="D15" s="220">
        <v>128.24027284628761</v>
      </c>
      <c r="E15" s="220">
        <v>149.08224071540886</v>
      </c>
      <c r="F15" s="220">
        <v>167.61643280067435</v>
      </c>
      <c r="G15" s="220">
        <v>191.88839144565216</v>
      </c>
      <c r="H15" s="76">
        <f t="shared" si="11"/>
        <v>0.14480655768304929</v>
      </c>
      <c r="I15" s="219">
        <v>128.15</v>
      </c>
      <c r="J15" s="220">
        <v>138.83000000000001</v>
      </c>
      <c r="K15" s="220">
        <v>165.52</v>
      </c>
      <c r="L15" s="220">
        <v>206.47</v>
      </c>
      <c r="M15" s="220">
        <v>239.78</v>
      </c>
      <c r="N15" s="76">
        <f t="shared" si="0"/>
        <v>0.16133094396280323</v>
      </c>
      <c r="P15" s="19" t="s">
        <v>53</v>
      </c>
      <c r="Q15" s="219">
        <v>82.551845597707086</v>
      </c>
      <c r="R15" s="220">
        <v>97.033551489292705</v>
      </c>
      <c r="S15" s="220">
        <v>122.12126480292923</v>
      </c>
      <c r="T15" s="220">
        <v>143.97032536836537</v>
      </c>
      <c r="U15" s="220">
        <v>163.11895784718422</v>
      </c>
      <c r="V15" s="76">
        <f t="shared" si="1"/>
        <v>0.13300402308479042</v>
      </c>
      <c r="W15" s="219">
        <v>91.56</v>
      </c>
      <c r="X15" s="220">
        <v>116.6</v>
      </c>
      <c r="Y15" s="220">
        <v>135.97999999999999</v>
      </c>
      <c r="Z15" s="220">
        <v>170.57</v>
      </c>
      <c r="AA15" s="220">
        <v>204.75</v>
      </c>
      <c r="AB15" s="76">
        <f t="shared" si="2"/>
        <v>0.20038693791405282</v>
      </c>
      <c r="AD15" s="19" t="s">
        <v>53</v>
      </c>
      <c r="AE15" s="221">
        <v>30921945.869999997</v>
      </c>
      <c r="AF15" s="54">
        <v>59486620.199999996</v>
      </c>
      <c r="AG15" s="54">
        <v>79534420.49000001</v>
      </c>
      <c r="AH15" s="54">
        <v>93956888.700000003</v>
      </c>
      <c r="AI15" s="54">
        <v>103670606.92999999</v>
      </c>
      <c r="AJ15" s="76">
        <f t="shared" si="3"/>
        <v>0.10338484345746535</v>
      </c>
      <c r="AK15" s="54">
        <f t="shared" si="10"/>
        <v>9713718.2299999893</v>
      </c>
      <c r="AL15" s="100">
        <f t="shared" si="4"/>
        <v>4.8871596355089177E-2</v>
      </c>
      <c r="AM15" s="222">
        <v>4371268.71</v>
      </c>
      <c r="AN15" s="223">
        <v>7424227.5799999991</v>
      </c>
      <c r="AO15" s="223">
        <v>7536822.79</v>
      </c>
      <c r="AP15" s="223">
        <v>9454446.7300000004</v>
      </c>
      <c r="AQ15" s="223">
        <v>10765108.189999999</v>
      </c>
      <c r="AR15" s="76">
        <f t="shared" si="5"/>
        <v>0.13862910199082568</v>
      </c>
      <c r="AS15" s="54">
        <f t="shared" si="6"/>
        <v>1310661.459999999</v>
      </c>
      <c r="AT15" s="76">
        <f t="shared" si="7"/>
        <v>1.4626965085383641</v>
      </c>
      <c r="AU15" s="54">
        <f t="shared" si="8"/>
        <v>6393839.4799999995</v>
      </c>
      <c r="AV15" s="100">
        <f t="shared" si="9"/>
        <v>4.984619011513744E-2</v>
      </c>
    </row>
    <row r="16" spans="2:48" x14ac:dyDescent="0.25">
      <c r="B16" s="19" t="s">
        <v>54</v>
      </c>
      <c r="C16" s="219">
        <v>68.994552790136353</v>
      </c>
      <c r="D16" s="220">
        <v>76.33677715427207</v>
      </c>
      <c r="E16" s="220">
        <v>86.562241205438895</v>
      </c>
      <c r="F16" s="220">
        <v>96.866051637570592</v>
      </c>
      <c r="G16" s="220">
        <v>102.33774702830209</v>
      </c>
      <c r="H16" s="76">
        <f t="shared" si="11"/>
        <v>5.6487234673341824E-2</v>
      </c>
      <c r="I16" s="219">
        <v>77.33</v>
      </c>
      <c r="J16" s="220">
        <v>85.51</v>
      </c>
      <c r="K16" s="220">
        <v>98.37</v>
      </c>
      <c r="L16" s="220">
        <v>114.68</v>
      </c>
      <c r="M16" s="220">
        <v>109.57</v>
      </c>
      <c r="N16" s="76">
        <f t="shared" si="0"/>
        <v>-4.4558772235786637E-2</v>
      </c>
      <c r="P16" s="19" t="s">
        <v>54</v>
      </c>
      <c r="Q16" s="219">
        <v>37.837311501257901</v>
      </c>
      <c r="R16" s="220">
        <v>53.164675339343553</v>
      </c>
      <c r="S16" s="220">
        <v>62.005486440984093</v>
      </c>
      <c r="T16" s="220">
        <v>69.745032923502521</v>
      </c>
      <c r="U16" s="220">
        <v>76.258129371978583</v>
      </c>
      <c r="V16" s="76">
        <f t="shared" si="1"/>
        <v>9.3384377001007879E-2</v>
      </c>
      <c r="W16" s="219">
        <v>57.28</v>
      </c>
      <c r="X16" s="220">
        <v>60.77</v>
      </c>
      <c r="Y16" s="220">
        <v>72.12</v>
      </c>
      <c r="Z16" s="220">
        <v>89.01</v>
      </c>
      <c r="AA16" s="220">
        <v>85.67</v>
      </c>
      <c r="AB16" s="76">
        <f t="shared" si="2"/>
        <v>-3.7523873722053791E-2</v>
      </c>
      <c r="AD16" s="19" t="s">
        <v>54</v>
      </c>
      <c r="AE16" s="221">
        <v>16610861.380000001</v>
      </c>
      <c r="AF16" s="54">
        <v>27747259.210000001</v>
      </c>
      <c r="AG16" s="54">
        <v>33481132.219999995</v>
      </c>
      <c r="AH16" s="54">
        <v>36544291.979999989</v>
      </c>
      <c r="AI16" s="54">
        <v>39167854.109999999</v>
      </c>
      <c r="AJ16" s="76">
        <f t="shared" si="3"/>
        <v>7.1791297295781265E-2</v>
      </c>
      <c r="AK16" s="54">
        <f t="shared" si="10"/>
        <v>2623562.1300000101</v>
      </c>
      <c r="AL16" s="100">
        <f t="shared" si="4"/>
        <v>1.8464207096341542E-2</v>
      </c>
      <c r="AM16" s="222">
        <v>2329887.98</v>
      </c>
      <c r="AN16" s="223">
        <v>2869190.5700000003</v>
      </c>
      <c r="AO16" s="223">
        <v>3275320.5</v>
      </c>
      <c r="AP16" s="223">
        <v>3885122.59</v>
      </c>
      <c r="AQ16" s="223">
        <v>3739183.58</v>
      </c>
      <c r="AR16" s="76">
        <f t="shared" si="5"/>
        <v>-3.7563553432171104E-2</v>
      </c>
      <c r="AS16" s="54">
        <f t="shared" si="6"/>
        <v>-145939.00999999978</v>
      </c>
      <c r="AT16" s="76">
        <f t="shared" si="7"/>
        <v>0.60487697781933703</v>
      </c>
      <c r="AU16" s="54">
        <f t="shared" si="8"/>
        <v>1409295.6</v>
      </c>
      <c r="AV16" s="100">
        <f t="shared" si="9"/>
        <v>1.7313718758276617E-2</v>
      </c>
    </row>
    <row r="17" spans="2:48" x14ac:dyDescent="0.25">
      <c r="B17" s="19" t="s">
        <v>55</v>
      </c>
      <c r="C17" s="219">
        <v>98.708115209716368</v>
      </c>
      <c r="D17" s="220">
        <v>114.29988518308373</v>
      </c>
      <c r="E17" s="220">
        <v>129.2161724313161</v>
      </c>
      <c r="F17" s="220">
        <v>138.64759312315766</v>
      </c>
      <c r="G17" s="220">
        <v>118.45821275094143</v>
      </c>
      <c r="H17" s="76">
        <f t="shared" si="11"/>
        <v>-0.14561652256222324</v>
      </c>
      <c r="I17" s="219">
        <v>117.31</v>
      </c>
      <c r="J17" s="220">
        <v>125.84</v>
      </c>
      <c r="K17" s="220">
        <v>142.44</v>
      </c>
      <c r="L17" s="220">
        <v>124.39</v>
      </c>
      <c r="M17" s="220">
        <v>129.66</v>
      </c>
      <c r="N17" s="76">
        <f t="shared" si="0"/>
        <v>4.2366749738725007E-2</v>
      </c>
      <c r="P17" s="19" t="s">
        <v>55</v>
      </c>
      <c r="Q17" s="219">
        <v>53.718812727732583</v>
      </c>
      <c r="R17" s="220">
        <v>88.557659172471134</v>
      </c>
      <c r="S17" s="220">
        <v>109.00613995021992</v>
      </c>
      <c r="T17" s="220">
        <v>119.73524021821618</v>
      </c>
      <c r="U17" s="220">
        <v>101.59675035396963</v>
      </c>
      <c r="V17" s="76">
        <f t="shared" si="1"/>
        <v>-0.15148831564700038</v>
      </c>
      <c r="W17" s="219">
        <v>74.12</v>
      </c>
      <c r="X17" s="220">
        <v>101.76</v>
      </c>
      <c r="Y17" s="220">
        <v>117.93</v>
      </c>
      <c r="Z17" s="220">
        <v>102.08</v>
      </c>
      <c r="AA17" s="220">
        <v>107.23</v>
      </c>
      <c r="AB17" s="76">
        <f t="shared" si="2"/>
        <v>5.0450626959247735E-2</v>
      </c>
      <c r="AD17" s="19" t="s">
        <v>55</v>
      </c>
      <c r="AE17" s="221">
        <v>34127770.070000008</v>
      </c>
      <c r="AF17" s="54">
        <v>89167684.940000013</v>
      </c>
      <c r="AG17" s="54">
        <v>107150132.73000002</v>
      </c>
      <c r="AH17" s="54">
        <v>119099527.73999999</v>
      </c>
      <c r="AI17" s="54">
        <v>101644173.95</v>
      </c>
      <c r="AJ17" s="76">
        <f t="shared" si="3"/>
        <v>-0.14656106637220145</v>
      </c>
      <c r="AK17" s="54">
        <f t="shared" si="10"/>
        <v>-17455353.789999992</v>
      </c>
      <c r="AL17" s="100">
        <f t="shared" si="4"/>
        <v>4.7916310979880854E-2</v>
      </c>
      <c r="AM17" s="222">
        <v>6252352.3899999997</v>
      </c>
      <c r="AN17" s="223">
        <v>9968562.0700000003</v>
      </c>
      <c r="AO17" s="223">
        <v>9951259.3200000003</v>
      </c>
      <c r="AP17" s="223">
        <v>8674249.9100000001</v>
      </c>
      <c r="AQ17" s="223">
        <v>9111225.5199999996</v>
      </c>
      <c r="AR17" s="76">
        <f t="shared" si="5"/>
        <v>5.0376184054397255E-2</v>
      </c>
      <c r="AS17" s="54">
        <f t="shared" si="6"/>
        <v>436975.6099999994</v>
      </c>
      <c r="AT17" s="76">
        <f t="shared" si="7"/>
        <v>0.45724760085059768</v>
      </c>
      <c r="AU17" s="54">
        <f t="shared" si="8"/>
        <v>2858873.13</v>
      </c>
      <c r="AV17" s="100">
        <f t="shared" si="9"/>
        <v>4.2188138886861661E-2</v>
      </c>
    </row>
    <row r="18" spans="2:48" x14ac:dyDescent="0.25">
      <c r="B18" s="23" t="s">
        <v>56</v>
      </c>
      <c r="C18" s="219">
        <v>74.275687625867562</v>
      </c>
      <c r="D18" s="220">
        <v>64.305316870550854</v>
      </c>
      <c r="E18" s="220">
        <v>69.857366729288515</v>
      </c>
      <c r="F18" s="220">
        <v>72.729342494545392</v>
      </c>
      <c r="G18" s="220">
        <v>77.05781085764167</v>
      </c>
      <c r="H18" s="76">
        <f t="shared" si="11"/>
        <v>5.9514746244555994E-2</v>
      </c>
      <c r="I18" s="219">
        <v>80.260000000000005</v>
      </c>
      <c r="J18" s="220">
        <v>73.62</v>
      </c>
      <c r="K18" s="220">
        <v>80.040000000000006</v>
      </c>
      <c r="L18" s="220">
        <v>85.83</v>
      </c>
      <c r="M18" s="220">
        <v>103.75</v>
      </c>
      <c r="N18" s="76">
        <f t="shared" si="0"/>
        <v>0.20878480717697778</v>
      </c>
      <c r="P18" s="23" t="s">
        <v>56</v>
      </c>
      <c r="Q18" s="219">
        <v>29.350319995339841</v>
      </c>
      <c r="R18" s="220">
        <v>43.222432130447032</v>
      </c>
      <c r="S18" s="220">
        <v>53.997432120157669</v>
      </c>
      <c r="T18" s="220">
        <v>56.560711974347974</v>
      </c>
      <c r="U18" s="220">
        <v>58.495465214158557</v>
      </c>
      <c r="V18" s="76">
        <f t="shared" si="1"/>
        <v>3.4206663464350529E-2</v>
      </c>
      <c r="W18" s="219">
        <v>46.59</v>
      </c>
      <c r="X18" s="220">
        <v>58.05</v>
      </c>
      <c r="Y18" s="220">
        <v>65</v>
      </c>
      <c r="Z18" s="220">
        <v>67.73</v>
      </c>
      <c r="AA18" s="220">
        <v>79.86</v>
      </c>
      <c r="AB18" s="76">
        <f t="shared" si="2"/>
        <v>0.17909345932378562</v>
      </c>
      <c r="AD18" s="23" t="s">
        <v>56</v>
      </c>
      <c r="AE18" s="221">
        <v>12828760.200000003</v>
      </c>
      <c r="AF18" s="54">
        <v>20596715.620000001</v>
      </c>
      <c r="AG18" s="54">
        <v>24141003.849999994</v>
      </c>
      <c r="AH18" s="54">
        <v>26190289.77</v>
      </c>
      <c r="AI18" s="54">
        <v>27172923.789999995</v>
      </c>
      <c r="AJ18" s="76">
        <f t="shared" si="3"/>
        <v>3.7519020546522119E-2</v>
      </c>
      <c r="AK18" s="54">
        <f t="shared" si="10"/>
        <v>982634.01999999583</v>
      </c>
      <c r="AL18" s="100">
        <f t="shared" si="4"/>
        <v>1.2809649741407952E-2</v>
      </c>
      <c r="AM18" s="222">
        <v>2069490.99</v>
      </c>
      <c r="AN18" s="223">
        <v>2421995.27</v>
      </c>
      <c r="AO18" s="223">
        <v>2512645.6999999997</v>
      </c>
      <c r="AP18" s="223">
        <v>2681200.48</v>
      </c>
      <c r="AQ18" s="223">
        <v>3161255.65</v>
      </c>
      <c r="AR18" s="76">
        <f t="shared" si="5"/>
        <v>0.17904486202389469</v>
      </c>
      <c r="AS18" s="54">
        <f t="shared" si="6"/>
        <v>480055.16999999993</v>
      </c>
      <c r="AT18" s="76">
        <f t="shared" si="7"/>
        <v>0.52755226540029532</v>
      </c>
      <c r="AU18" s="54">
        <f t="shared" si="8"/>
        <v>1091764.6599999999</v>
      </c>
      <c r="AV18" s="100">
        <f t="shared" si="9"/>
        <v>1.4637711702593894E-2</v>
      </c>
    </row>
    <row r="19" spans="2:48" x14ac:dyDescent="0.25">
      <c r="B19" s="103"/>
      <c r="C19" s="104"/>
      <c r="D19" s="104"/>
      <c r="E19" s="104"/>
      <c r="F19" s="104"/>
      <c r="G19" s="105"/>
      <c r="H19" s="104"/>
      <c r="I19" s="104"/>
      <c r="J19" s="104"/>
      <c r="K19" s="104"/>
      <c r="L19" s="104"/>
      <c r="M19" s="106"/>
      <c r="N19" s="106"/>
      <c r="P19" s="103"/>
      <c r="Q19" s="104"/>
      <c r="R19" s="104"/>
      <c r="S19" s="104"/>
      <c r="T19" s="104"/>
      <c r="U19" s="105"/>
      <c r="V19" s="104"/>
      <c r="W19" s="104"/>
      <c r="X19" s="104"/>
      <c r="Y19" s="104"/>
      <c r="Z19" s="104"/>
      <c r="AA19" s="106"/>
      <c r="AB19" s="106"/>
      <c r="AD19" s="103"/>
      <c r="AE19" s="103"/>
      <c r="AF19" s="103"/>
      <c r="AG19" s="103"/>
      <c r="AH19" s="104"/>
      <c r="AI19" s="105"/>
      <c r="AJ19" s="106"/>
      <c r="AK19" s="106"/>
      <c r="AL19" s="106"/>
      <c r="AM19" s="104"/>
      <c r="AN19" s="104"/>
      <c r="AO19" s="104"/>
      <c r="AP19" s="104"/>
      <c r="AQ19" s="106"/>
      <c r="AR19" s="106"/>
      <c r="AS19" s="106"/>
      <c r="AT19" s="106"/>
      <c r="AU19" s="224"/>
      <c r="AV19" s="106"/>
    </row>
    <row r="20" spans="2:48" x14ac:dyDescent="0.25">
      <c r="B20" s="107" t="s">
        <v>58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P20" s="107" t="s">
        <v>58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D20" s="107" t="s">
        <v>58</v>
      </c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</row>
    <row r="21" spans="2:48" ht="39" customHeight="1" x14ac:dyDescent="0.25">
      <c r="B21" s="281" t="s">
        <v>171</v>
      </c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P21" s="281" t="s">
        <v>172</v>
      </c>
      <c r="Q21" s="281"/>
      <c r="R21" s="281"/>
      <c r="S21" s="281"/>
      <c r="T21" s="281"/>
      <c r="U21" s="281"/>
      <c r="V21" s="281"/>
      <c r="W21" s="281"/>
      <c r="X21" s="225"/>
      <c r="Y21" s="225"/>
      <c r="Z21" s="225"/>
      <c r="AA21" s="225"/>
      <c r="AB21" s="225"/>
      <c r="AD21" s="319" t="s">
        <v>173</v>
      </c>
      <c r="AE21" s="319"/>
      <c r="AF21" s="319"/>
      <c r="AG21" s="319"/>
      <c r="AH21" s="319"/>
      <c r="AI21" s="319"/>
      <c r="AJ21" s="319"/>
      <c r="AK21" s="319"/>
      <c r="AL21" s="319"/>
      <c r="AM21" s="319"/>
      <c r="AN21" s="319"/>
      <c r="AO21" s="319"/>
      <c r="AP21" s="319"/>
      <c r="AQ21" s="319"/>
      <c r="AR21" s="319"/>
      <c r="AS21" s="319"/>
      <c r="AT21" s="319"/>
      <c r="AU21" s="319"/>
      <c r="AV21" s="319"/>
    </row>
    <row r="22" spans="2:48" ht="24" customHeight="1" x14ac:dyDescent="0.25">
      <c r="B22" s="281" t="s">
        <v>174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P22" s="320" t="s">
        <v>175</v>
      </c>
      <c r="Q22" s="320"/>
      <c r="R22" s="320"/>
      <c r="S22" s="320"/>
      <c r="T22" s="320"/>
      <c r="U22" s="320"/>
      <c r="V22" s="320"/>
      <c r="W22" s="320"/>
      <c r="X22" s="226"/>
      <c r="Y22" s="226"/>
      <c r="Z22" s="226"/>
      <c r="AA22" s="226"/>
      <c r="AB22" s="226"/>
      <c r="AQ22" s="54">
        <f>AQ11/M11</f>
        <v>10493.710998254246</v>
      </c>
    </row>
    <row r="23" spans="2:48" x14ac:dyDescent="0.25"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</row>
    <row r="25" spans="2:48" x14ac:dyDescent="0.25">
      <c r="B25" t="s">
        <v>12</v>
      </c>
    </row>
    <row r="27" spans="2:48" ht="50.25" customHeight="1" thickBot="1" x14ac:dyDescent="0.3">
      <c r="B27" s="283" t="s">
        <v>176</v>
      </c>
      <c r="C27" s="283"/>
      <c r="D27" s="283"/>
      <c r="E27" s="283"/>
      <c r="F27" s="283"/>
      <c r="G27" s="283"/>
      <c r="H27" s="283"/>
      <c r="I27" s="146"/>
      <c r="P27" s="283" t="s">
        <v>177</v>
      </c>
      <c r="Q27" s="283"/>
      <c r="R27" s="283"/>
      <c r="S27" s="283"/>
      <c r="T27" s="283"/>
      <c r="U27" s="283"/>
      <c r="V27" s="283"/>
      <c r="W27" s="283"/>
      <c r="AE27" s="283" t="s">
        <v>178</v>
      </c>
      <c r="AF27" s="283"/>
      <c r="AG27" s="283"/>
      <c r="AH27" s="283"/>
      <c r="AI27" s="283"/>
      <c r="AJ27" s="283"/>
      <c r="AK27" s="283"/>
      <c r="AL27" s="146"/>
    </row>
    <row r="28" spans="2:48" ht="6" customHeight="1" thickBot="1" x14ac:dyDescent="0.3">
      <c r="B28" s="85"/>
      <c r="C28" s="85"/>
      <c r="D28" s="85"/>
      <c r="E28" s="85"/>
      <c r="F28" s="85"/>
      <c r="G28" s="85"/>
      <c r="H28" s="85"/>
      <c r="I28" s="86"/>
      <c r="P28" s="85"/>
      <c r="Q28" s="85"/>
      <c r="R28" s="85"/>
      <c r="S28" s="85"/>
      <c r="T28" s="85"/>
      <c r="U28" s="85"/>
      <c r="V28" s="85"/>
      <c r="W28" s="86"/>
      <c r="AE28" s="86"/>
      <c r="AF28" s="86"/>
      <c r="AG28" s="86"/>
      <c r="AH28" s="86"/>
      <c r="AI28" s="86"/>
      <c r="AJ28" s="86"/>
      <c r="AK28" s="86"/>
      <c r="AL28" s="86"/>
    </row>
    <row r="29" spans="2:48" ht="15.75" thickBot="1" x14ac:dyDescent="0.3">
      <c r="B29" s="87"/>
      <c r="C29" s="187">
        <v>2020</v>
      </c>
      <c r="D29" s="187">
        <v>2021</v>
      </c>
      <c r="E29" s="187">
        <v>2022</v>
      </c>
      <c r="F29" s="187">
        <v>2023</v>
      </c>
      <c r="G29" s="187">
        <v>2024</v>
      </c>
      <c r="H29" s="14" t="str">
        <f>CONCATENATE("var. ",RIGHT(G29,2),"/",RIGHT(F29,2))</f>
        <v>var. 24/23</v>
      </c>
      <c r="I29" s="209" t="str">
        <f>CONCATENATE("dif. ",RIGHT(G29,2),"/",RIGHT(F29,2))</f>
        <v>dif. 24/23</v>
      </c>
      <c r="P29" s="87"/>
      <c r="Q29" s="187">
        <v>2020</v>
      </c>
      <c r="R29" s="187">
        <v>2021</v>
      </c>
      <c r="S29" s="187">
        <v>2022</v>
      </c>
      <c r="T29" s="187">
        <v>2023</v>
      </c>
      <c r="U29" s="187">
        <v>2024</v>
      </c>
      <c r="V29" s="14" t="str">
        <f>CONCATENATE("var. ",RIGHT(U29,2),"/",RIGHT(T29,2))</f>
        <v>var. 24/23</v>
      </c>
      <c r="W29" s="209" t="str">
        <f>CONCATENATE("dif. ",RIGHT(U29,2),"/",RIGHT(T29,2))</f>
        <v>dif. 24/23</v>
      </c>
      <c r="AE29" s="87"/>
      <c r="AF29" s="187">
        <v>2020</v>
      </c>
      <c r="AG29" s="187">
        <v>2021</v>
      </c>
      <c r="AH29" s="187">
        <v>2022</v>
      </c>
      <c r="AI29" s="187">
        <v>2023</v>
      </c>
      <c r="AJ29" s="187">
        <v>2024</v>
      </c>
      <c r="AK29" s="14" t="str">
        <f>CONCATENATE("var. ",RIGHT(AJ29,2),"/",RIGHT(AI29,2))</f>
        <v>var. 24/23</v>
      </c>
      <c r="AL29" s="209" t="str">
        <f>CONCATENATE("dif. ",RIGHT(AJ29,2),"/",RIGHT(AI29,2))</f>
        <v>dif. 24/23</v>
      </c>
    </row>
    <row r="30" spans="2:48" ht="15.75" x14ac:dyDescent="0.25">
      <c r="B30" s="211" t="s">
        <v>46</v>
      </c>
      <c r="C30" s="212">
        <v>95.01</v>
      </c>
      <c r="D30" s="212">
        <v>99.07</v>
      </c>
      <c r="E30" s="212">
        <v>105.42</v>
      </c>
      <c r="F30" s="212">
        <v>114.04</v>
      </c>
      <c r="G30" s="212">
        <v>125.24</v>
      </c>
      <c r="H30" s="136">
        <f>G30/F30-1</f>
        <v>9.8211153981059063E-2</v>
      </c>
      <c r="I30" s="212">
        <f>G30-F30</f>
        <v>11.199999999999989</v>
      </c>
      <c r="P30" s="211" t="s">
        <v>46</v>
      </c>
      <c r="Q30" s="212">
        <v>48.13</v>
      </c>
      <c r="R30" s="212">
        <v>53</v>
      </c>
      <c r="S30" s="212">
        <v>80.489999999999995</v>
      </c>
      <c r="T30" s="212">
        <v>93.36</v>
      </c>
      <c r="U30" s="212">
        <v>104.71</v>
      </c>
      <c r="V30" s="136">
        <f>U30/T30-1</f>
        <v>0.12157240788346191</v>
      </c>
      <c r="W30" s="212">
        <f>U30-T30</f>
        <v>11.349999999999994</v>
      </c>
      <c r="AE30" s="211" t="s">
        <v>46</v>
      </c>
      <c r="AF30" s="217">
        <v>476771371.47999996</v>
      </c>
      <c r="AG30" s="217">
        <v>651901800.17999995</v>
      </c>
      <c r="AH30" s="217">
        <v>1555257583.7</v>
      </c>
      <c r="AI30" s="217">
        <v>1802709096.5</v>
      </c>
      <c r="AJ30" s="217">
        <v>2047521372.4000001</v>
      </c>
      <c r="AK30" s="136">
        <f>AJ30/AI30-1</f>
        <v>0.13580243000676506</v>
      </c>
      <c r="AL30" s="135">
        <f>AJ30-AI30</f>
        <v>244812275.9000001</v>
      </c>
    </row>
    <row r="31" spans="2:48" ht="15.75" customHeight="1" x14ac:dyDescent="0.25">
      <c r="B31" s="15" t="s">
        <v>47</v>
      </c>
      <c r="C31" s="219">
        <v>119.42</v>
      </c>
      <c r="D31" s="219">
        <v>126.49</v>
      </c>
      <c r="E31" s="219">
        <v>130.62</v>
      </c>
      <c r="F31" s="219">
        <v>138.91</v>
      </c>
      <c r="G31" s="219">
        <v>151.52000000000001</v>
      </c>
      <c r="H31" s="76">
        <f t="shared" ref="H31:H35" si="12">G31/F31-1</f>
        <v>9.0778201713339612E-2</v>
      </c>
      <c r="I31" s="220">
        <f t="shared" ref="I31:I40" si="13">G31-F31</f>
        <v>12.610000000000014</v>
      </c>
      <c r="P31" s="15" t="s">
        <v>47</v>
      </c>
      <c r="Q31" s="219">
        <v>61.17</v>
      </c>
      <c r="R31" s="220">
        <v>72.88000000000001</v>
      </c>
      <c r="S31" s="220">
        <v>107.4</v>
      </c>
      <c r="T31" s="220">
        <v>119.28</v>
      </c>
      <c r="U31" s="220">
        <v>131.19999999999999</v>
      </c>
      <c r="V31" s="76">
        <f t="shared" ref="V31:V40" si="14">U31/T31-1</f>
        <v>9.9932930918846363E-2</v>
      </c>
      <c r="W31" s="220">
        <f t="shared" ref="W31:W40" si="15">U31-T31</f>
        <v>11.919999999999987</v>
      </c>
      <c r="AE31" s="15" t="s">
        <v>47</v>
      </c>
      <c r="AF31" s="222">
        <v>217815325.03999999</v>
      </c>
      <c r="AG31" s="223">
        <v>333738906.92999995</v>
      </c>
      <c r="AH31" s="223">
        <v>752084605.10000002</v>
      </c>
      <c r="AI31" s="223">
        <v>857198465.50999999</v>
      </c>
      <c r="AJ31" s="223">
        <v>951397748.67999995</v>
      </c>
      <c r="AK31" s="76">
        <f t="shared" ref="AK31:AK40" si="16">AJ31/AI31-1</f>
        <v>0.10989203429564598</v>
      </c>
      <c r="AL31" s="54">
        <f t="shared" ref="AL31:AL40" si="17">AJ31-AI31</f>
        <v>94199283.169999957</v>
      </c>
    </row>
    <row r="32" spans="2:48" ht="15.75" customHeight="1" x14ac:dyDescent="0.25">
      <c r="B32" s="19" t="s">
        <v>48</v>
      </c>
      <c r="C32" s="219">
        <v>89.5</v>
      </c>
      <c r="D32" s="219">
        <v>85.87</v>
      </c>
      <c r="E32" s="219">
        <v>93.54000000000002</v>
      </c>
      <c r="F32" s="219">
        <v>101.3</v>
      </c>
      <c r="G32" s="219">
        <v>115.83999999999999</v>
      </c>
      <c r="H32" s="76">
        <f t="shared" si="12"/>
        <v>0.14353405725567603</v>
      </c>
      <c r="I32" s="220">
        <f t="shared" si="13"/>
        <v>14.539999999999992</v>
      </c>
      <c r="P32" s="19" t="s">
        <v>48</v>
      </c>
      <c r="Q32" s="219">
        <v>44.55</v>
      </c>
      <c r="R32" s="220">
        <v>43.14</v>
      </c>
      <c r="S32" s="220">
        <v>71.36</v>
      </c>
      <c r="T32" s="220">
        <v>83.79</v>
      </c>
      <c r="U32" s="220">
        <v>97.15</v>
      </c>
      <c r="V32" s="76">
        <f t="shared" si="14"/>
        <v>0.15944623463420449</v>
      </c>
      <c r="W32" s="220">
        <f t="shared" si="15"/>
        <v>13.36</v>
      </c>
      <c r="AE32" s="19" t="s">
        <v>48</v>
      </c>
      <c r="AF32" s="222">
        <v>122348722.31</v>
      </c>
      <c r="AG32" s="223">
        <v>137154616.22</v>
      </c>
      <c r="AH32" s="223">
        <v>393041904.13</v>
      </c>
      <c r="AI32" s="223">
        <v>437659233.52999997</v>
      </c>
      <c r="AJ32" s="223">
        <v>514533652.09000003</v>
      </c>
      <c r="AK32" s="76">
        <f t="shared" si="16"/>
        <v>0.1756490270751494</v>
      </c>
      <c r="AL32" s="54">
        <f t="shared" si="17"/>
        <v>76874418.560000062</v>
      </c>
    </row>
    <row r="33" spans="2:39" ht="15.75" customHeight="1" x14ac:dyDescent="0.25">
      <c r="B33" s="19" t="s">
        <v>49</v>
      </c>
      <c r="C33" s="219">
        <v>70.819999999999993</v>
      </c>
      <c r="D33" s="219">
        <v>66.41</v>
      </c>
      <c r="E33" s="219">
        <v>77.45</v>
      </c>
      <c r="F33" s="219">
        <v>80.180000000000007</v>
      </c>
      <c r="G33" s="219">
        <v>87.94</v>
      </c>
      <c r="H33" s="76">
        <f t="shared" si="12"/>
        <v>9.6782239960089722E-2</v>
      </c>
      <c r="I33" s="220">
        <f t="shared" si="13"/>
        <v>7.7599999999999909</v>
      </c>
      <c r="P33" s="19" t="s">
        <v>49</v>
      </c>
      <c r="Q33" s="219">
        <v>38.090000000000003</v>
      </c>
      <c r="R33" s="220">
        <v>36.92</v>
      </c>
      <c r="S33" s="220">
        <v>53.91</v>
      </c>
      <c r="T33" s="220">
        <v>54.70000000000001</v>
      </c>
      <c r="U33" s="220">
        <v>63.160000000000004</v>
      </c>
      <c r="V33" s="76">
        <f t="shared" si="14"/>
        <v>0.15466179159049354</v>
      </c>
      <c r="W33" s="220">
        <f t="shared" si="15"/>
        <v>8.4599999999999937</v>
      </c>
      <c r="AE33" s="19" t="s">
        <v>49</v>
      </c>
      <c r="AF33" s="222">
        <v>2812428.07</v>
      </c>
      <c r="AG33" s="223">
        <v>4381169.17</v>
      </c>
      <c r="AH33" s="223">
        <v>8189647.9699999997</v>
      </c>
      <c r="AI33" s="223">
        <v>8858381.8200000003</v>
      </c>
      <c r="AJ33" s="223">
        <v>10237092.02</v>
      </c>
      <c r="AK33" s="76">
        <f t="shared" si="16"/>
        <v>0.15563905778899922</v>
      </c>
      <c r="AL33" s="54">
        <f t="shared" si="17"/>
        <v>1378710.1999999993</v>
      </c>
    </row>
    <row r="34" spans="2:39" ht="15.75" customHeight="1" x14ac:dyDescent="0.25">
      <c r="B34" s="19" t="s">
        <v>50</v>
      </c>
      <c r="C34" s="219">
        <v>134.75</v>
      </c>
      <c r="D34" s="219">
        <v>154.08000000000001</v>
      </c>
      <c r="E34" s="219">
        <v>186.75</v>
      </c>
      <c r="F34" s="219">
        <v>211.21</v>
      </c>
      <c r="G34" s="219">
        <v>199.41</v>
      </c>
      <c r="H34" s="76">
        <f t="shared" si="12"/>
        <v>-5.5868566829222144E-2</v>
      </c>
      <c r="I34" s="220">
        <f t="shared" si="13"/>
        <v>-11.800000000000011</v>
      </c>
      <c r="P34" s="19" t="s">
        <v>50</v>
      </c>
      <c r="Q34" s="219">
        <v>52.22</v>
      </c>
      <c r="R34" s="220">
        <v>46.13</v>
      </c>
      <c r="S34" s="220">
        <v>95.170000000000016</v>
      </c>
      <c r="T34" s="220">
        <v>117.35</v>
      </c>
      <c r="U34" s="220">
        <v>126.66000000000001</v>
      </c>
      <c r="V34" s="76">
        <f t="shared" si="14"/>
        <v>7.933532168726054E-2</v>
      </c>
      <c r="W34" s="220">
        <f t="shared" si="15"/>
        <v>9.3100000000000165</v>
      </c>
      <c r="AE34" s="19" t="s">
        <v>50</v>
      </c>
      <c r="AF34" s="222">
        <v>19577887.920000002</v>
      </c>
      <c r="AG34" s="223">
        <v>22694182.549999997</v>
      </c>
      <c r="AH34" s="223">
        <v>57363631.390000001</v>
      </c>
      <c r="AI34" s="223">
        <v>67682841.399999991</v>
      </c>
      <c r="AJ34" s="223">
        <v>67200118.379999995</v>
      </c>
      <c r="AK34" s="76">
        <f t="shared" si="16"/>
        <v>-7.1321329012643542E-3</v>
      </c>
      <c r="AL34" s="54">
        <f t="shared" si="17"/>
        <v>-482723.01999999583</v>
      </c>
    </row>
    <row r="35" spans="2:39" ht="15.75" customHeight="1" x14ac:dyDescent="0.25">
      <c r="B35" s="19" t="s">
        <v>51</v>
      </c>
      <c r="C35" s="219">
        <v>53.52</v>
      </c>
      <c r="D35" s="219">
        <v>51.25</v>
      </c>
      <c r="E35" s="219">
        <v>59.1</v>
      </c>
      <c r="F35" s="219">
        <v>65.930000000000007</v>
      </c>
      <c r="G35" s="219">
        <v>74.61</v>
      </c>
      <c r="H35" s="76">
        <f t="shared" si="12"/>
        <v>0.13165478537843156</v>
      </c>
      <c r="I35" s="220">
        <f t="shared" si="13"/>
        <v>8.6799999999999926</v>
      </c>
      <c r="P35" s="19" t="s">
        <v>51</v>
      </c>
      <c r="Q35" s="219">
        <v>28.760000000000005</v>
      </c>
      <c r="R35" s="220">
        <v>28.24</v>
      </c>
      <c r="S35" s="220">
        <v>42.13</v>
      </c>
      <c r="T35" s="220">
        <v>52.07</v>
      </c>
      <c r="U35" s="220">
        <v>61.36999999999999</v>
      </c>
      <c r="V35" s="76">
        <f t="shared" si="14"/>
        <v>0.17860572306510458</v>
      </c>
      <c r="W35" s="220">
        <f t="shared" si="15"/>
        <v>9.2999999999999901</v>
      </c>
      <c r="AE35" s="19" t="s">
        <v>51</v>
      </c>
      <c r="AF35" s="222">
        <v>46497100.399999999</v>
      </c>
      <c r="AG35" s="223">
        <v>54944687.289999999</v>
      </c>
      <c r="AH35" s="223">
        <v>139714759.69</v>
      </c>
      <c r="AI35" s="223">
        <v>177906116.87</v>
      </c>
      <c r="AJ35" s="223">
        <v>218084310.92000002</v>
      </c>
      <c r="AK35" s="76">
        <f t="shared" si="16"/>
        <v>0.22583930646611283</v>
      </c>
      <c r="AL35" s="54">
        <f t="shared" si="17"/>
        <v>40178194.050000012</v>
      </c>
    </row>
    <row r="36" spans="2:39" x14ac:dyDescent="0.25">
      <c r="B36" s="19" t="s">
        <v>52</v>
      </c>
      <c r="C36" s="219">
        <v>86.79</v>
      </c>
      <c r="D36" s="219">
        <v>84.44</v>
      </c>
      <c r="E36" s="219">
        <v>89.45</v>
      </c>
      <c r="F36" s="219">
        <v>98.5</v>
      </c>
      <c r="G36" s="219">
        <v>108.5</v>
      </c>
      <c r="H36" s="76">
        <f>G36/F36-1</f>
        <v>0.10152284263959399</v>
      </c>
      <c r="I36" s="220">
        <f t="shared" si="13"/>
        <v>10</v>
      </c>
      <c r="P36" s="19" t="s">
        <v>52</v>
      </c>
      <c r="Q36" s="219">
        <v>49.1</v>
      </c>
      <c r="R36" s="220">
        <v>45.63</v>
      </c>
      <c r="S36" s="220">
        <v>64.64</v>
      </c>
      <c r="T36" s="220">
        <v>73.62</v>
      </c>
      <c r="U36" s="220">
        <v>81.849999999999994</v>
      </c>
      <c r="V36" s="76">
        <f t="shared" si="14"/>
        <v>0.11179027438196121</v>
      </c>
      <c r="W36" s="220">
        <f t="shared" si="15"/>
        <v>8.2299999999999898</v>
      </c>
      <c r="AE36" s="19" t="s">
        <v>52</v>
      </c>
      <c r="AF36" s="222">
        <v>3114952.08</v>
      </c>
      <c r="AG36" s="223">
        <v>4498900.47</v>
      </c>
      <c r="AH36" s="223">
        <v>7864755.4300000006</v>
      </c>
      <c r="AI36" s="223">
        <v>9097368.0999999996</v>
      </c>
      <c r="AJ36" s="223">
        <v>10277452.130000001</v>
      </c>
      <c r="AK36" s="76">
        <f t="shared" si="16"/>
        <v>0.12971708048177155</v>
      </c>
      <c r="AL36" s="54">
        <f t="shared" si="17"/>
        <v>1180084.0300000012</v>
      </c>
    </row>
    <row r="37" spans="2:39" x14ac:dyDescent="0.25">
      <c r="B37" s="19" t="s">
        <v>53</v>
      </c>
      <c r="C37" s="219">
        <v>106.13</v>
      </c>
      <c r="D37" s="219">
        <v>125.31</v>
      </c>
      <c r="E37" s="219">
        <v>128.24</v>
      </c>
      <c r="F37" s="219">
        <v>149.08000000000001</v>
      </c>
      <c r="G37" s="219">
        <v>167.62</v>
      </c>
      <c r="H37" s="76">
        <f t="shared" ref="H37:H40" si="18">G37/F37-1</f>
        <v>0.12436275825060372</v>
      </c>
      <c r="I37" s="220">
        <f t="shared" si="13"/>
        <v>18.539999999999992</v>
      </c>
      <c r="P37" s="19" t="s">
        <v>53</v>
      </c>
      <c r="Q37" s="219">
        <v>64.31</v>
      </c>
      <c r="R37" s="220">
        <v>82.55</v>
      </c>
      <c r="S37" s="220">
        <v>97.03</v>
      </c>
      <c r="T37" s="220">
        <v>122.12</v>
      </c>
      <c r="U37" s="220">
        <v>143.97</v>
      </c>
      <c r="V37" s="76">
        <f t="shared" si="14"/>
        <v>0.17892237143792977</v>
      </c>
      <c r="W37" s="220">
        <f t="shared" si="15"/>
        <v>21.849999999999994</v>
      </c>
      <c r="AE37" s="19" t="s">
        <v>53</v>
      </c>
      <c r="AF37" s="222">
        <v>18804870.850000001</v>
      </c>
      <c r="AG37" s="223">
        <v>30921945.879999999</v>
      </c>
      <c r="AH37" s="223">
        <v>59486620.189999998</v>
      </c>
      <c r="AI37" s="223">
        <v>79534420.480000004</v>
      </c>
      <c r="AJ37" s="223">
        <v>93956888.709999993</v>
      </c>
      <c r="AK37" s="76">
        <f t="shared" si="16"/>
        <v>0.18133618303821941</v>
      </c>
      <c r="AL37" s="54">
        <f t="shared" si="17"/>
        <v>14422468.229999989</v>
      </c>
    </row>
    <row r="38" spans="2:39" x14ac:dyDescent="0.25">
      <c r="B38" s="19" t="s">
        <v>54</v>
      </c>
      <c r="C38" s="219">
        <v>64.19</v>
      </c>
      <c r="D38" s="219">
        <v>68.989999999999995</v>
      </c>
      <c r="E38" s="219">
        <v>76.34</v>
      </c>
      <c r="F38" s="219">
        <v>86.56</v>
      </c>
      <c r="G38" s="219">
        <v>96.87</v>
      </c>
      <c r="H38" s="76">
        <f t="shared" si="18"/>
        <v>0.11910813308687618</v>
      </c>
      <c r="I38" s="220">
        <f t="shared" si="13"/>
        <v>10.310000000000002</v>
      </c>
      <c r="P38" s="19" t="s">
        <v>54</v>
      </c>
      <c r="Q38" s="219">
        <v>33.54</v>
      </c>
      <c r="R38" s="220">
        <v>37.840000000000003</v>
      </c>
      <c r="S38" s="220">
        <v>53.16</v>
      </c>
      <c r="T38" s="220">
        <v>62.009999999999991</v>
      </c>
      <c r="U38" s="220">
        <v>69.75</v>
      </c>
      <c r="V38" s="76">
        <f t="shared" si="14"/>
        <v>0.12481857764876647</v>
      </c>
      <c r="W38" s="220">
        <f t="shared" si="15"/>
        <v>7.7400000000000091</v>
      </c>
      <c r="AE38" s="19" t="s">
        <v>54</v>
      </c>
      <c r="AF38" s="222">
        <v>10173605.369999999</v>
      </c>
      <c r="AG38" s="223">
        <v>16610861.379999999</v>
      </c>
      <c r="AH38" s="223">
        <v>27747259.210000001</v>
      </c>
      <c r="AI38" s="223">
        <v>33481132.210000001</v>
      </c>
      <c r="AJ38" s="223">
        <v>36544291.980000004</v>
      </c>
      <c r="AK38" s="76">
        <f t="shared" si="16"/>
        <v>9.1489133365839859E-2</v>
      </c>
      <c r="AL38" s="54">
        <f t="shared" si="17"/>
        <v>3063159.7700000033</v>
      </c>
    </row>
    <row r="39" spans="2:39" x14ac:dyDescent="0.25">
      <c r="B39" s="19" t="s">
        <v>55</v>
      </c>
      <c r="C39" s="219">
        <v>102.24</v>
      </c>
      <c r="D39" s="219">
        <v>98.71</v>
      </c>
      <c r="E39" s="219">
        <v>114.3</v>
      </c>
      <c r="F39" s="219">
        <v>129.22</v>
      </c>
      <c r="G39" s="219">
        <v>138.65</v>
      </c>
      <c r="H39" s="76">
        <f t="shared" si="18"/>
        <v>7.2976319455192673E-2</v>
      </c>
      <c r="I39" s="220">
        <f t="shared" si="13"/>
        <v>9.4300000000000068</v>
      </c>
      <c r="P39" s="19" t="s">
        <v>55</v>
      </c>
      <c r="Q39" s="219">
        <v>50.94</v>
      </c>
      <c r="R39" s="220">
        <v>53.72</v>
      </c>
      <c r="S39" s="220">
        <v>88.56</v>
      </c>
      <c r="T39" s="220">
        <v>109.01</v>
      </c>
      <c r="U39" s="220">
        <v>119.74</v>
      </c>
      <c r="V39" s="76">
        <f t="shared" si="14"/>
        <v>9.8431336574626105E-2</v>
      </c>
      <c r="W39" s="220">
        <f t="shared" si="15"/>
        <v>10.72999999999999</v>
      </c>
      <c r="AE39" s="19" t="s">
        <v>55</v>
      </c>
      <c r="AF39" s="222">
        <v>28411183</v>
      </c>
      <c r="AG39" s="223">
        <v>34127770.07</v>
      </c>
      <c r="AH39" s="223">
        <v>89167684.930000007</v>
      </c>
      <c r="AI39" s="223">
        <v>107150132.73</v>
      </c>
      <c r="AJ39" s="223">
        <v>119099527.73999999</v>
      </c>
      <c r="AK39" s="76">
        <f t="shared" si="16"/>
        <v>0.11152011393313366</v>
      </c>
      <c r="AL39" s="54">
        <f t="shared" si="17"/>
        <v>11949395.00999999</v>
      </c>
    </row>
    <row r="40" spans="2:39" x14ac:dyDescent="0.25">
      <c r="B40" s="23" t="s">
        <v>56</v>
      </c>
      <c r="C40" s="219">
        <v>58.1</v>
      </c>
      <c r="D40" s="219">
        <v>74.28</v>
      </c>
      <c r="E40" s="219">
        <v>64.31</v>
      </c>
      <c r="F40" s="219">
        <v>69.86</v>
      </c>
      <c r="G40" s="219">
        <v>72.73</v>
      </c>
      <c r="H40" s="76">
        <f t="shared" si="18"/>
        <v>4.1082164328657411E-2</v>
      </c>
      <c r="I40" s="220">
        <f t="shared" si="13"/>
        <v>2.8700000000000045</v>
      </c>
      <c r="P40" s="23" t="s">
        <v>56</v>
      </c>
      <c r="Q40" s="219">
        <v>22.7</v>
      </c>
      <c r="R40" s="220">
        <v>29.35</v>
      </c>
      <c r="S40" s="220">
        <v>43.22</v>
      </c>
      <c r="T40" s="220">
        <v>54</v>
      </c>
      <c r="U40" s="220">
        <v>56.56</v>
      </c>
      <c r="V40" s="76">
        <f t="shared" si="14"/>
        <v>4.7407407407407343E-2</v>
      </c>
      <c r="W40" s="220">
        <f t="shared" si="15"/>
        <v>2.5600000000000023</v>
      </c>
      <c r="AE40" s="23" t="s">
        <v>56</v>
      </c>
      <c r="AF40" s="222">
        <v>7215296.4500000002</v>
      </c>
      <c r="AG40" s="223">
        <v>12828760.219999999</v>
      </c>
      <c r="AH40" s="223">
        <v>20596715.629999999</v>
      </c>
      <c r="AI40" s="223">
        <v>24141003.859999999</v>
      </c>
      <c r="AJ40" s="223">
        <v>26190289.780000001</v>
      </c>
      <c r="AK40" s="76">
        <f t="shared" si="16"/>
        <v>8.4888181613504754E-2</v>
      </c>
      <c r="AL40" s="54">
        <f t="shared" si="17"/>
        <v>2049285.9200000018</v>
      </c>
    </row>
    <row r="41" spans="2:39" x14ac:dyDescent="0.25">
      <c r="B41" s="103"/>
      <c r="C41" s="104"/>
      <c r="D41" s="104"/>
      <c r="E41" s="104"/>
      <c r="F41" s="104"/>
      <c r="G41" s="105"/>
      <c r="H41" s="104"/>
      <c r="I41" s="106"/>
      <c r="P41" s="103"/>
      <c r="Q41" s="104"/>
      <c r="R41" s="104"/>
      <c r="S41" s="104"/>
      <c r="T41" s="104"/>
      <c r="U41" s="105"/>
      <c r="V41" s="104"/>
      <c r="W41" s="106"/>
      <c r="AE41" s="103"/>
      <c r="AF41" s="103"/>
      <c r="AG41" s="103"/>
      <c r="AH41" s="103"/>
      <c r="AI41" s="104"/>
      <c r="AJ41" s="105"/>
      <c r="AK41" s="106"/>
      <c r="AL41" s="106"/>
    </row>
    <row r="42" spans="2:39" x14ac:dyDescent="0.25">
      <c r="B42" s="318" t="s">
        <v>58</v>
      </c>
      <c r="C42" s="318"/>
      <c r="D42" s="318"/>
      <c r="E42" s="318"/>
      <c r="F42" s="318"/>
      <c r="G42" s="318"/>
      <c r="H42" s="318"/>
      <c r="I42" s="107"/>
      <c r="P42" s="107" t="s">
        <v>58</v>
      </c>
      <c r="Q42" s="107"/>
      <c r="R42" s="107"/>
      <c r="S42" s="107"/>
      <c r="T42" s="107"/>
      <c r="U42" s="107"/>
      <c r="V42" s="107"/>
      <c r="W42" s="107"/>
      <c r="AE42" s="107" t="s">
        <v>58</v>
      </c>
      <c r="AF42" s="107"/>
      <c r="AG42" s="107"/>
      <c r="AH42" s="107"/>
      <c r="AI42" s="107"/>
      <c r="AJ42" s="107"/>
      <c r="AK42" s="107"/>
      <c r="AL42" s="107"/>
    </row>
    <row r="43" spans="2:39" ht="39" customHeight="1" x14ac:dyDescent="0.25">
      <c r="B43" s="281" t="s">
        <v>171</v>
      </c>
      <c r="C43" s="281"/>
      <c r="D43" s="281"/>
      <c r="E43" s="281"/>
      <c r="F43" s="281"/>
      <c r="G43" s="281"/>
      <c r="H43" s="281"/>
      <c r="P43" s="281" t="s">
        <v>172</v>
      </c>
      <c r="Q43" s="281"/>
      <c r="R43" s="281"/>
      <c r="S43" s="281"/>
      <c r="T43" s="281"/>
      <c r="U43" s="281"/>
      <c r="V43" s="281"/>
      <c r="W43" s="281"/>
      <c r="AE43" s="319" t="s">
        <v>173</v>
      </c>
      <c r="AF43" s="319"/>
      <c r="AG43" s="319"/>
      <c r="AH43" s="319"/>
      <c r="AI43" s="319"/>
      <c r="AJ43" s="319"/>
      <c r="AK43" s="319"/>
      <c r="AL43" s="319"/>
      <c r="AM43" s="319"/>
    </row>
    <row r="44" spans="2:39" ht="24" customHeight="1" x14ac:dyDescent="0.25">
      <c r="B44" s="281" t="s">
        <v>174</v>
      </c>
      <c r="C44" s="281"/>
      <c r="D44" s="281"/>
      <c r="E44" s="281"/>
      <c r="F44" s="281"/>
      <c r="G44" s="281"/>
      <c r="H44" s="281"/>
      <c r="P44" s="320" t="s">
        <v>175</v>
      </c>
      <c r="Q44" s="320"/>
      <c r="R44" s="320"/>
      <c r="S44" s="320"/>
      <c r="T44" s="320"/>
      <c r="U44" s="320"/>
      <c r="V44" s="320"/>
      <c r="W44" s="320"/>
      <c r="AF44" s="125"/>
      <c r="AG44" s="125"/>
    </row>
  </sheetData>
  <mergeCells count="18">
    <mergeCell ref="AE27:AK27"/>
    <mergeCell ref="B5:N5"/>
    <mergeCell ref="P5:AB5"/>
    <mergeCell ref="AD5:AT5"/>
    <mergeCell ref="B21:N21"/>
    <mergeCell ref="P21:W21"/>
    <mergeCell ref="AD21:AV21"/>
    <mergeCell ref="B22:N22"/>
    <mergeCell ref="P22:W22"/>
    <mergeCell ref="B23:N23"/>
    <mergeCell ref="B27:H27"/>
    <mergeCell ref="P27:W27"/>
    <mergeCell ref="B42:H42"/>
    <mergeCell ref="B43:H43"/>
    <mergeCell ref="P43:W43"/>
    <mergeCell ref="AE43:AM43"/>
    <mergeCell ref="B44:H44"/>
    <mergeCell ref="P44:W44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30D93-D067-4137-94EA-03981E7A35E0}">
  <sheetPr>
    <tabColor theme="2" tint="-9.9978637043366805E-2"/>
  </sheetPr>
  <dimension ref="B1:Q53"/>
  <sheetViews>
    <sheetView showGridLines="0" topLeftCell="A34" zoomScaleNormal="10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CONCATENATE("Tarifa media diaria (ADR) Tenerife y municipios")</f>
        <v>Tarifa media diaria (ADR)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231</v>
      </c>
      <c r="L5" s="92" t="s">
        <v>232</v>
      </c>
      <c r="M5" s="92" t="s">
        <v>233</v>
      </c>
      <c r="N5" s="92" t="s">
        <v>234</v>
      </c>
      <c r="O5" s="92" t="s">
        <v>235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95.01</v>
      </c>
      <c r="D6" s="228">
        <v>99.07</v>
      </c>
      <c r="E6" s="228">
        <v>105.42</v>
      </c>
      <c r="F6" s="228">
        <v>114.04</v>
      </c>
      <c r="G6" s="228">
        <v>125.24</v>
      </c>
      <c r="H6" s="228">
        <v>132.82</v>
      </c>
      <c r="I6" s="95">
        <f t="shared" ref="I6:I51" si="0">IFERROR(H6/G6-1,"-")</f>
        <v>6.052379431491528E-2</v>
      </c>
      <c r="J6" s="228">
        <f t="shared" ref="J6:J51" si="1">IFERROR(H6-G6,"-")</f>
        <v>7.5799999999999983</v>
      </c>
      <c r="K6" s="229">
        <v>111.99</v>
      </c>
      <c r="L6" s="229">
        <v>116.38</v>
      </c>
      <c r="M6" s="229">
        <v>134.74</v>
      </c>
      <c r="N6" s="229">
        <v>147.38</v>
      </c>
      <c r="O6" s="229">
        <v>158.74</v>
      </c>
      <c r="P6" s="95">
        <f t="shared" ref="P6:P51" si="2">IFERROR(O6/N6-1,"-")</f>
        <v>7.7079658026869335E-2</v>
      </c>
      <c r="Q6" s="228">
        <f t="shared" ref="Q6:Q51" si="3">IFERROR(O6-N6,"-")</f>
        <v>11.360000000000014</v>
      </c>
    </row>
    <row r="7" spans="2:17" x14ac:dyDescent="0.25">
      <c r="B7" s="96" t="s">
        <v>63</v>
      </c>
      <c r="C7" s="230">
        <v>103.69</v>
      </c>
      <c r="D7" s="230">
        <v>107.45</v>
      </c>
      <c r="E7" s="230">
        <v>114.17</v>
      </c>
      <c r="F7" s="230">
        <v>123.63</v>
      </c>
      <c r="G7" s="230">
        <v>135.81</v>
      </c>
      <c r="H7" s="230">
        <v>143.28</v>
      </c>
      <c r="I7" s="98">
        <f t="shared" si="0"/>
        <v>5.5003313452617553E-2</v>
      </c>
      <c r="J7" s="230">
        <f t="shared" si="1"/>
        <v>7.4699999999999989</v>
      </c>
      <c r="K7" s="231">
        <v>121.87</v>
      </c>
      <c r="L7" s="231">
        <v>131.6</v>
      </c>
      <c r="M7" s="231">
        <v>146.81</v>
      </c>
      <c r="N7" s="231">
        <v>159.29</v>
      </c>
      <c r="O7" s="231">
        <v>171.63</v>
      </c>
      <c r="P7" s="98">
        <f t="shared" si="2"/>
        <v>7.746876765647559E-2</v>
      </c>
      <c r="Q7" s="230">
        <f t="shared" si="3"/>
        <v>12.340000000000003</v>
      </c>
    </row>
    <row r="8" spans="2:17" x14ac:dyDescent="0.25">
      <c r="B8" s="99" t="s">
        <v>64</v>
      </c>
      <c r="C8" s="232">
        <v>113.97</v>
      </c>
      <c r="D8" s="232">
        <v>117.1</v>
      </c>
      <c r="E8" s="232">
        <v>123.96</v>
      </c>
      <c r="F8" s="232">
        <v>133.49</v>
      </c>
      <c r="G8" s="232">
        <v>146.25</v>
      </c>
      <c r="H8" s="232">
        <v>154.19</v>
      </c>
      <c r="I8" s="100">
        <f t="shared" si="0"/>
        <v>5.4290598290598346E-2</v>
      </c>
      <c r="J8" s="232">
        <f t="shared" si="1"/>
        <v>7.9399999999999977</v>
      </c>
      <c r="K8" s="233">
        <v>132.44</v>
      </c>
      <c r="L8" s="233">
        <v>143.80000000000001</v>
      </c>
      <c r="M8" s="233">
        <v>159.09</v>
      </c>
      <c r="N8" s="233">
        <v>172.57</v>
      </c>
      <c r="O8" s="233">
        <v>185.66</v>
      </c>
      <c r="P8" s="100">
        <f t="shared" si="2"/>
        <v>7.5853276931100444E-2</v>
      </c>
      <c r="Q8" s="232">
        <f t="shared" si="3"/>
        <v>13.090000000000003</v>
      </c>
    </row>
    <row r="9" spans="2:17" x14ac:dyDescent="0.25">
      <c r="B9" s="99" t="s">
        <v>65</v>
      </c>
      <c r="C9" s="232">
        <v>59.3</v>
      </c>
      <c r="D9" s="232">
        <v>59.54</v>
      </c>
      <c r="E9" s="232">
        <v>65.25</v>
      </c>
      <c r="F9" s="232">
        <v>72.2</v>
      </c>
      <c r="G9" s="232">
        <v>79.78</v>
      </c>
      <c r="H9" s="232">
        <v>84.79</v>
      </c>
      <c r="I9" s="100">
        <f t="shared" si="0"/>
        <v>6.2797693657558273E-2</v>
      </c>
      <c r="J9" s="232">
        <f t="shared" si="1"/>
        <v>5.0100000000000051</v>
      </c>
      <c r="K9" s="233">
        <v>71.45</v>
      </c>
      <c r="L9" s="233">
        <v>75.180000000000007</v>
      </c>
      <c r="M9" s="233">
        <v>84.63</v>
      </c>
      <c r="N9" s="233">
        <v>90.05</v>
      </c>
      <c r="O9" s="233">
        <v>98.05</v>
      </c>
      <c r="P9" s="100">
        <f t="shared" si="2"/>
        <v>8.8839533592448561E-2</v>
      </c>
      <c r="Q9" s="232">
        <f t="shared" si="3"/>
        <v>8</v>
      </c>
    </row>
    <row r="10" spans="2:17" x14ac:dyDescent="0.25">
      <c r="B10" s="96" t="s">
        <v>66</v>
      </c>
      <c r="C10" s="230">
        <v>69.31</v>
      </c>
      <c r="D10" s="230">
        <v>67.12</v>
      </c>
      <c r="E10" s="230">
        <v>74.94</v>
      </c>
      <c r="F10" s="230">
        <v>78.930000000000007</v>
      </c>
      <c r="G10" s="230">
        <v>86.93</v>
      </c>
      <c r="H10" s="230">
        <v>96.43</v>
      </c>
      <c r="I10" s="98">
        <f t="shared" si="0"/>
        <v>0.10928333141608193</v>
      </c>
      <c r="J10" s="230">
        <f t="shared" si="1"/>
        <v>9.5</v>
      </c>
      <c r="K10" s="231">
        <v>75.72</v>
      </c>
      <c r="L10" s="231">
        <v>88.71</v>
      </c>
      <c r="M10" s="231">
        <v>93.24</v>
      </c>
      <c r="N10" s="231">
        <v>105.6</v>
      </c>
      <c r="O10" s="231">
        <v>114.08</v>
      </c>
      <c r="P10" s="98">
        <f t="shared" si="2"/>
        <v>8.0303030303030321E-2</v>
      </c>
      <c r="Q10" s="230">
        <f t="shared" si="3"/>
        <v>8.480000000000004</v>
      </c>
    </row>
    <row r="11" spans="2:17" x14ac:dyDescent="0.25">
      <c r="B11" s="93" t="s">
        <v>47</v>
      </c>
      <c r="C11" s="234">
        <v>119.42</v>
      </c>
      <c r="D11" s="234">
        <v>126.49</v>
      </c>
      <c r="E11" s="234">
        <v>130.62</v>
      </c>
      <c r="F11" s="234">
        <v>138.91</v>
      </c>
      <c r="G11" s="234">
        <v>151.52000000000001</v>
      </c>
      <c r="H11" s="234">
        <v>159.22</v>
      </c>
      <c r="I11" s="102">
        <f t="shared" si="0"/>
        <v>5.081837381203802E-2</v>
      </c>
      <c r="J11" s="234">
        <f t="shared" si="1"/>
        <v>7.6999999999999886</v>
      </c>
      <c r="K11" s="235">
        <v>146</v>
      </c>
      <c r="L11" s="235">
        <v>145.80000000000001</v>
      </c>
      <c r="M11" s="235">
        <v>169.17</v>
      </c>
      <c r="N11" s="235">
        <v>182.9</v>
      </c>
      <c r="O11" s="235">
        <v>190.45</v>
      </c>
      <c r="P11" s="102">
        <f t="shared" si="2"/>
        <v>4.1279387643520904E-2</v>
      </c>
      <c r="Q11" s="234">
        <f t="shared" si="3"/>
        <v>7.5499999999999829</v>
      </c>
    </row>
    <row r="12" spans="2:17" x14ac:dyDescent="0.25">
      <c r="B12" s="96" t="s">
        <v>63</v>
      </c>
      <c r="C12" s="230">
        <v>130.44999999999999</v>
      </c>
      <c r="D12" s="230">
        <v>134.97</v>
      </c>
      <c r="E12" s="230">
        <v>140.36000000000001</v>
      </c>
      <c r="F12" s="230">
        <v>150.29</v>
      </c>
      <c r="G12" s="230">
        <v>166.01</v>
      </c>
      <c r="H12" s="230">
        <v>174.46</v>
      </c>
      <c r="I12" s="98">
        <f t="shared" si="0"/>
        <v>5.0900548159749537E-2</v>
      </c>
      <c r="J12" s="230">
        <f t="shared" si="1"/>
        <v>8.4500000000000171</v>
      </c>
      <c r="K12" s="231">
        <v>156.97999999999999</v>
      </c>
      <c r="L12" s="231">
        <v>166.54</v>
      </c>
      <c r="M12" s="231">
        <v>183.98</v>
      </c>
      <c r="N12" s="231">
        <v>199.35</v>
      </c>
      <c r="O12" s="231">
        <v>204.95</v>
      </c>
      <c r="P12" s="98">
        <f t="shared" si="2"/>
        <v>2.8091296714321423E-2</v>
      </c>
      <c r="Q12" s="230">
        <f t="shared" si="3"/>
        <v>5.5999999999999943</v>
      </c>
    </row>
    <row r="13" spans="2:17" x14ac:dyDescent="0.25">
      <c r="B13" s="99" t="s">
        <v>64</v>
      </c>
      <c r="C13" s="232">
        <v>138.85</v>
      </c>
      <c r="D13" s="232">
        <v>143.38999999999999</v>
      </c>
      <c r="E13" s="232">
        <v>150.34</v>
      </c>
      <c r="F13" s="232">
        <v>160.88</v>
      </c>
      <c r="G13" s="232">
        <v>176.82</v>
      </c>
      <c r="H13" s="232">
        <v>186.36</v>
      </c>
      <c r="I13" s="100">
        <f t="shared" si="0"/>
        <v>5.3953172718018472E-2</v>
      </c>
      <c r="J13" s="232">
        <f t="shared" si="1"/>
        <v>9.5400000000000205</v>
      </c>
      <c r="K13" s="233">
        <v>167.81</v>
      </c>
      <c r="L13" s="233">
        <v>179.31</v>
      </c>
      <c r="M13" s="233">
        <v>196.73</v>
      </c>
      <c r="N13" s="233">
        <v>212.39</v>
      </c>
      <c r="O13" s="233">
        <v>218.1</v>
      </c>
      <c r="P13" s="100">
        <f t="shared" si="2"/>
        <v>2.6884504920194008E-2</v>
      </c>
      <c r="Q13" s="232">
        <f t="shared" si="3"/>
        <v>5.710000000000008</v>
      </c>
    </row>
    <row r="14" spans="2:17" x14ac:dyDescent="0.25">
      <c r="B14" s="99" t="s">
        <v>65</v>
      </c>
      <c r="C14" s="232">
        <v>65.55</v>
      </c>
      <c r="D14" s="232">
        <v>60.97</v>
      </c>
      <c r="E14" s="232">
        <v>62.16</v>
      </c>
      <c r="F14" s="232">
        <v>62.3</v>
      </c>
      <c r="G14" s="232">
        <v>64.11</v>
      </c>
      <c r="H14" s="232">
        <v>71.02</v>
      </c>
      <c r="I14" s="100">
        <f t="shared" si="0"/>
        <v>0.10778349711433477</v>
      </c>
      <c r="J14" s="232">
        <f t="shared" si="1"/>
        <v>6.9099999999999966</v>
      </c>
      <c r="K14" s="233">
        <v>72.930000000000007</v>
      </c>
      <c r="L14" s="233">
        <v>75.12</v>
      </c>
      <c r="M14" s="233">
        <v>77.28</v>
      </c>
      <c r="N14" s="233">
        <v>76.37</v>
      </c>
      <c r="O14" s="233">
        <v>86.32</v>
      </c>
      <c r="P14" s="100">
        <f t="shared" si="2"/>
        <v>0.13028676181746746</v>
      </c>
      <c r="Q14" s="232">
        <f t="shared" si="3"/>
        <v>9.9499999999999886</v>
      </c>
    </row>
    <row r="15" spans="2:17" x14ac:dyDescent="0.25">
      <c r="B15" s="96" t="s">
        <v>66</v>
      </c>
      <c r="C15" s="230">
        <v>76.66</v>
      </c>
      <c r="D15" s="230">
        <v>74.13</v>
      </c>
      <c r="E15" s="230">
        <v>81.099999999999994</v>
      </c>
      <c r="F15" s="230">
        <v>83.06</v>
      </c>
      <c r="G15" s="230">
        <v>86.47</v>
      </c>
      <c r="H15" s="230">
        <v>96.49</v>
      </c>
      <c r="I15" s="98">
        <f t="shared" si="0"/>
        <v>0.11587833930843061</v>
      </c>
      <c r="J15" s="230">
        <f t="shared" si="1"/>
        <v>10.019999999999996</v>
      </c>
      <c r="K15" s="231">
        <v>78.430000000000007</v>
      </c>
      <c r="L15" s="231">
        <v>95.53</v>
      </c>
      <c r="M15" s="231">
        <v>103.35</v>
      </c>
      <c r="N15" s="231">
        <v>112.79</v>
      </c>
      <c r="O15" s="231">
        <v>128.54</v>
      </c>
      <c r="P15" s="98">
        <f t="shared" si="2"/>
        <v>0.13964003901055055</v>
      </c>
      <c r="Q15" s="230">
        <f t="shared" si="3"/>
        <v>15.749999999999986</v>
      </c>
    </row>
    <row r="16" spans="2:17" x14ac:dyDescent="0.25">
      <c r="B16" s="93" t="s">
        <v>48</v>
      </c>
      <c r="C16" s="234">
        <v>89.5</v>
      </c>
      <c r="D16" s="234">
        <v>85.87</v>
      </c>
      <c r="E16" s="234">
        <v>93.54</v>
      </c>
      <c r="F16" s="234">
        <v>101.3</v>
      </c>
      <c r="G16" s="234">
        <v>115.84</v>
      </c>
      <c r="H16" s="234">
        <v>124.52</v>
      </c>
      <c r="I16" s="102">
        <f t="shared" si="0"/>
        <v>7.4930939226519166E-2</v>
      </c>
      <c r="J16" s="234">
        <f t="shared" si="1"/>
        <v>8.6799999999999926</v>
      </c>
      <c r="K16" s="235">
        <v>97.51</v>
      </c>
      <c r="L16" s="235">
        <v>103.53</v>
      </c>
      <c r="M16" s="235">
        <v>117.63</v>
      </c>
      <c r="N16" s="235">
        <v>133.58000000000001</v>
      </c>
      <c r="O16" s="235">
        <v>140.88999999999999</v>
      </c>
      <c r="P16" s="102">
        <f t="shared" si="2"/>
        <v>5.4723761042071883E-2</v>
      </c>
      <c r="Q16" s="234">
        <f t="shared" si="3"/>
        <v>7.3099999999999739</v>
      </c>
    </row>
    <row r="17" spans="2:17" x14ac:dyDescent="0.25">
      <c r="B17" s="96" t="s">
        <v>63</v>
      </c>
      <c r="C17" s="230">
        <v>98.68</v>
      </c>
      <c r="D17" s="230">
        <v>96.69</v>
      </c>
      <c r="E17" s="230">
        <v>103.31</v>
      </c>
      <c r="F17" s="230">
        <v>112</v>
      </c>
      <c r="G17" s="230">
        <v>127.16</v>
      </c>
      <c r="H17" s="230">
        <v>133.97999999999999</v>
      </c>
      <c r="I17" s="98">
        <f t="shared" si="0"/>
        <v>5.3633217993079629E-2</v>
      </c>
      <c r="J17" s="230">
        <f t="shared" si="1"/>
        <v>6.8199999999999932</v>
      </c>
      <c r="K17" s="231">
        <v>108.67</v>
      </c>
      <c r="L17" s="231">
        <v>117.29</v>
      </c>
      <c r="M17" s="231">
        <v>133.6</v>
      </c>
      <c r="N17" s="231">
        <v>146.35</v>
      </c>
      <c r="O17" s="231">
        <v>155.61000000000001</v>
      </c>
      <c r="P17" s="98">
        <f t="shared" si="2"/>
        <v>6.3272975743081883E-2</v>
      </c>
      <c r="Q17" s="230">
        <f t="shared" si="3"/>
        <v>9.2600000000000193</v>
      </c>
    </row>
    <row r="18" spans="2:17" x14ac:dyDescent="0.25">
      <c r="B18" s="99" t="s">
        <v>64</v>
      </c>
      <c r="C18" s="232">
        <v>110.87</v>
      </c>
      <c r="D18" s="232">
        <v>104.07</v>
      </c>
      <c r="E18" s="232">
        <v>111.76</v>
      </c>
      <c r="F18" s="232">
        <v>119.15</v>
      </c>
      <c r="G18" s="232">
        <v>136.18</v>
      </c>
      <c r="H18" s="232">
        <v>141.59</v>
      </c>
      <c r="I18" s="100">
        <f t="shared" si="0"/>
        <v>3.9726832133940349E-2</v>
      </c>
      <c r="J18" s="232">
        <f t="shared" si="1"/>
        <v>5.4099999999999966</v>
      </c>
      <c r="K18" s="233">
        <v>115.33</v>
      </c>
      <c r="L18" s="233">
        <v>127.76</v>
      </c>
      <c r="M18" s="233">
        <v>141.94</v>
      </c>
      <c r="N18" s="233">
        <v>156.55000000000001</v>
      </c>
      <c r="O18" s="233">
        <v>166.04</v>
      </c>
      <c r="P18" s="100">
        <f t="shared" si="2"/>
        <v>6.061961034813157E-2</v>
      </c>
      <c r="Q18" s="232">
        <f t="shared" si="3"/>
        <v>9.4899999999999807</v>
      </c>
    </row>
    <row r="19" spans="2:17" x14ac:dyDescent="0.25">
      <c r="B19" s="99" t="s">
        <v>65</v>
      </c>
      <c r="C19" s="232">
        <v>64.17</v>
      </c>
      <c r="D19" s="232">
        <v>65.650000000000006</v>
      </c>
      <c r="E19" s="232">
        <v>73.12</v>
      </c>
      <c r="F19" s="232">
        <v>86.47</v>
      </c>
      <c r="G19" s="232">
        <v>94.84</v>
      </c>
      <c r="H19" s="232">
        <v>103.43</v>
      </c>
      <c r="I19" s="100">
        <f t="shared" si="0"/>
        <v>9.0573597638127445E-2</v>
      </c>
      <c r="J19" s="232">
        <f t="shared" si="1"/>
        <v>8.5900000000000034</v>
      </c>
      <c r="K19" s="233">
        <v>81.67</v>
      </c>
      <c r="L19" s="233">
        <v>81.290000000000006</v>
      </c>
      <c r="M19" s="233">
        <v>101.79</v>
      </c>
      <c r="N19" s="233">
        <v>109.76</v>
      </c>
      <c r="O19" s="233">
        <v>117.53</v>
      </c>
      <c r="P19" s="100">
        <f t="shared" si="2"/>
        <v>7.0790816326530503E-2</v>
      </c>
      <c r="Q19" s="232">
        <f t="shared" si="3"/>
        <v>7.769999999999996</v>
      </c>
    </row>
    <row r="20" spans="2:17" x14ac:dyDescent="0.25">
      <c r="B20" s="96" t="s">
        <v>66</v>
      </c>
      <c r="C20" s="230">
        <v>76.2</v>
      </c>
      <c r="D20" s="230">
        <v>71.16</v>
      </c>
      <c r="E20" s="230">
        <v>77.92</v>
      </c>
      <c r="F20" s="230">
        <v>81.99</v>
      </c>
      <c r="G20" s="230">
        <v>95.66</v>
      </c>
      <c r="H20" s="230">
        <v>107.47</v>
      </c>
      <c r="I20" s="98">
        <f t="shared" si="0"/>
        <v>0.12345808070248809</v>
      </c>
      <c r="J20" s="230">
        <f t="shared" si="1"/>
        <v>11.810000000000002</v>
      </c>
      <c r="K20" s="231">
        <v>80.37</v>
      </c>
      <c r="L20" s="231">
        <v>90.85</v>
      </c>
      <c r="M20" s="231">
        <v>91.35</v>
      </c>
      <c r="N20" s="231">
        <v>110.81</v>
      </c>
      <c r="O20" s="231">
        <v>115.85</v>
      </c>
      <c r="P20" s="98">
        <f t="shared" si="2"/>
        <v>4.5483259633606998E-2</v>
      </c>
      <c r="Q20" s="230">
        <f t="shared" si="3"/>
        <v>5.039999999999992</v>
      </c>
    </row>
    <row r="21" spans="2:17" x14ac:dyDescent="0.25">
      <c r="B21" s="93" t="s">
        <v>49</v>
      </c>
      <c r="C21" s="234">
        <v>70.819999999999993</v>
      </c>
      <c r="D21" s="234">
        <v>66.41</v>
      </c>
      <c r="E21" s="234">
        <v>77.45</v>
      </c>
      <c r="F21" s="234">
        <v>80.180000000000007</v>
      </c>
      <c r="G21" s="234">
        <v>87.94</v>
      </c>
      <c r="H21" s="234">
        <v>99.82</v>
      </c>
      <c r="I21" s="102">
        <f t="shared" si="0"/>
        <v>0.1350921082556289</v>
      </c>
      <c r="J21" s="234">
        <f t="shared" si="1"/>
        <v>11.879999999999995</v>
      </c>
      <c r="K21" s="235">
        <v>79.7</v>
      </c>
      <c r="L21" s="235">
        <v>104.36</v>
      </c>
      <c r="M21" s="235">
        <v>82.46</v>
      </c>
      <c r="N21" s="235">
        <v>104.69</v>
      </c>
      <c r="O21" s="235">
        <v>126.02</v>
      </c>
      <c r="P21" s="102">
        <f t="shared" si="2"/>
        <v>0.20374438819371488</v>
      </c>
      <c r="Q21" s="234">
        <f t="shared" si="3"/>
        <v>21.33</v>
      </c>
    </row>
    <row r="22" spans="2:17" x14ac:dyDescent="0.25">
      <c r="B22" s="96" t="s">
        <v>63</v>
      </c>
      <c r="C22" s="230">
        <v>68.510000000000005</v>
      </c>
      <c r="D22" s="230">
        <v>66.41</v>
      </c>
      <c r="E22" s="230">
        <v>77.510000000000005</v>
      </c>
      <c r="F22" s="230">
        <v>80.36</v>
      </c>
      <c r="G22" s="230">
        <v>88.03</v>
      </c>
      <c r="H22" s="230">
        <v>99.96</v>
      </c>
      <c r="I22" s="98">
        <f t="shared" si="0"/>
        <v>0.13552198114279213</v>
      </c>
      <c r="J22" s="230">
        <f t="shared" si="1"/>
        <v>11.929999999999993</v>
      </c>
      <c r="K22" s="231">
        <v>79.7</v>
      </c>
      <c r="L22" s="231">
        <v>105.25</v>
      </c>
      <c r="M22" s="231">
        <v>82.5</v>
      </c>
      <c r="N22" s="231">
        <v>104.9</v>
      </c>
      <c r="O22" s="231">
        <v>126.53</v>
      </c>
      <c r="P22" s="98">
        <f t="shared" si="2"/>
        <v>0.20619637750238318</v>
      </c>
      <c r="Q22" s="230">
        <f t="shared" si="3"/>
        <v>21.629999999999995</v>
      </c>
    </row>
    <row r="23" spans="2:17" x14ac:dyDescent="0.25">
      <c r="B23" s="96" t="s">
        <v>66</v>
      </c>
      <c r="C23" s="230">
        <v>0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134.75</v>
      </c>
      <c r="D24" s="234">
        <v>154.08000000000001</v>
      </c>
      <c r="E24" s="234">
        <v>186.75</v>
      </c>
      <c r="F24" s="234">
        <v>211.21</v>
      </c>
      <c r="G24" s="234">
        <v>199.41</v>
      </c>
      <c r="H24" s="234">
        <v>220.58</v>
      </c>
      <c r="I24" s="102">
        <f t="shared" si="0"/>
        <v>0.10616318138508607</v>
      </c>
      <c r="J24" s="234">
        <f t="shared" si="1"/>
        <v>21.170000000000016</v>
      </c>
      <c r="K24" s="235">
        <v>144.69</v>
      </c>
      <c r="L24" s="235">
        <v>186.46</v>
      </c>
      <c r="M24" s="235">
        <v>291.81</v>
      </c>
      <c r="N24" s="235">
        <v>265.04000000000002</v>
      </c>
      <c r="O24" s="235">
        <v>327.44</v>
      </c>
      <c r="P24" s="102">
        <f t="shared" si="2"/>
        <v>0.23543616057953498</v>
      </c>
      <c r="Q24" s="234">
        <f t="shared" si="3"/>
        <v>62.399999999999977</v>
      </c>
    </row>
    <row r="25" spans="2:17" x14ac:dyDescent="0.25">
      <c r="B25" s="96" t="s">
        <v>12</v>
      </c>
      <c r="C25" s="230">
        <v>134.66999999999999</v>
      </c>
      <c r="D25" s="230">
        <v>151.52000000000001</v>
      </c>
      <c r="E25" s="230">
        <v>180.18</v>
      </c>
      <c r="F25" s="230">
        <v>206.52</v>
      </c>
      <c r="G25" s="230">
        <v>205.17</v>
      </c>
      <c r="H25" s="230">
        <v>231.5</v>
      </c>
      <c r="I25" s="98">
        <f t="shared" si="0"/>
        <v>0.12833260223229526</v>
      </c>
      <c r="J25" s="230">
        <f t="shared" si="1"/>
        <v>26.330000000000013</v>
      </c>
      <c r="K25" s="231">
        <v>144.69</v>
      </c>
      <c r="L25" s="231">
        <v>157.81</v>
      </c>
      <c r="M25" s="231">
        <v>282.67</v>
      </c>
      <c r="N25" s="231">
        <v>281.51</v>
      </c>
      <c r="O25" s="231">
        <v>343.97</v>
      </c>
      <c r="P25" s="98">
        <f t="shared" si="2"/>
        <v>0.22187488899151031</v>
      </c>
      <c r="Q25" s="230">
        <f t="shared" si="3"/>
        <v>62.460000000000036</v>
      </c>
    </row>
    <row r="26" spans="2:17" x14ac:dyDescent="0.25">
      <c r="B26" s="99" t="s">
        <v>64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0</v>
      </c>
      <c r="L26" s="233">
        <v>0</v>
      </c>
      <c r="M26" s="233">
        <v>0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0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53.52</v>
      </c>
      <c r="D28" s="234">
        <v>51.25</v>
      </c>
      <c r="E28" s="234">
        <v>59.1</v>
      </c>
      <c r="F28" s="234">
        <v>65.930000000000007</v>
      </c>
      <c r="G28" s="234">
        <v>74.61</v>
      </c>
      <c r="H28" s="234">
        <v>82.59</v>
      </c>
      <c r="I28" s="102">
        <f t="shared" si="0"/>
        <v>0.1069561720948935</v>
      </c>
      <c r="J28" s="234">
        <f t="shared" si="1"/>
        <v>7.980000000000004</v>
      </c>
      <c r="K28" s="235">
        <v>60.58</v>
      </c>
      <c r="L28" s="235">
        <v>70.28</v>
      </c>
      <c r="M28" s="235">
        <v>73.680000000000007</v>
      </c>
      <c r="N28" s="235">
        <v>85.21</v>
      </c>
      <c r="O28" s="235">
        <v>95.46</v>
      </c>
      <c r="P28" s="102">
        <f t="shared" si="2"/>
        <v>0.12029104565191884</v>
      </c>
      <c r="Q28" s="234">
        <f t="shared" si="3"/>
        <v>10.25</v>
      </c>
    </row>
    <row r="29" spans="2:17" x14ac:dyDescent="0.25">
      <c r="B29" s="96" t="s">
        <v>63</v>
      </c>
      <c r="C29" s="230">
        <v>56.97</v>
      </c>
      <c r="D29" s="230">
        <v>54.03</v>
      </c>
      <c r="E29" s="230">
        <v>62.9</v>
      </c>
      <c r="F29" s="230">
        <v>70.19</v>
      </c>
      <c r="G29" s="230">
        <v>78.77</v>
      </c>
      <c r="H29" s="230">
        <v>88.12</v>
      </c>
      <c r="I29" s="98">
        <f t="shared" si="0"/>
        <v>0.11870001269518871</v>
      </c>
      <c r="J29" s="230">
        <f t="shared" si="1"/>
        <v>9.3500000000000085</v>
      </c>
      <c r="K29" s="231">
        <v>63.37</v>
      </c>
      <c r="L29" s="231">
        <v>79.33</v>
      </c>
      <c r="M29" s="231">
        <v>77.41</v>
      </c>
      <c r="N29" s="231">
        <v>89.55</v>
      </c>
      <c r="O29" s="231">
        <v>102.31</v>
      </c>
      <c r="P29" s="98">
        <f t="shared" si="2"/>
        <v>0.14249022892238972</v>
      </c>
      <c r="Q29" s="230">
        <f t="shared" si="3"/>
        <v>12.760000000000005</v>
      </c>
    </row>
    <row r="30" spans="2:17" x14ac:dyDescent="0.25">
      <c r="B30" s="99" t="s">
        <v>64</v>
      </c>
      <c r="C30" s="232">
        <v>59.93</v>
      </c>
      <c r="D30" s="232">
        <v>57.07</v>
      </c>
      <c r="E30" s="232">
        <v>65.52</v>
      </c>
      <c r="F30" s="232">
        <v>73.069999999999993</v>
      </c>
      <c r="G30" s="232">
        <v>81.81</v>
      </c>
      <c r="H30" s="232">
        <v>92.23</v>
      </c>
      <c r="I30" s="100">
        <f t="shared" si="0"/>
        <v>0.12736829238479408</v>
      </c>
      <c r="J30" s="232">
        <f t="shared" si="1"/>
        <v>10.420000000000002</v>
      </c>
      <c r="K30" s="233">
        <v>66.41</v>
      </c>
      <c r="L30" s="233">
        <v>83.9</v>
      </c>
      <c r="M30" s="233">
        <v>80.84</v>
      </c>
      <c r="N30" s="233">
        <v>93.02</v>
      </c>
      <c r="O30" s="233">
        <v>108.25</v>
      </c>
      <c r="P30" s="100">
        <f t="shared" si="2"/>
        <v>0.16372823048806717</v>
      </c>
      <c r="Q30" s="232">
        <f t="shared" si="3"/>
        <v>15.230000000000004</v>
      </c>
    </row>
    <row r="31" spans="2:17" x14ac:dyDescent="0.25">
      <c r="B31" s="99" t="s">
        <v>65</v>
      </c>
      <c r="C31" s="232">
        <v>42.61</v>
      </c>
      <c r="D31" s="232">
        <v>41.43</v>
      </c>
      <c r="E31" s="232">
        <v>46.25</v>
      </c>
      <c r="F31" s="232">
        <v>50.85</v>
      </c>
      <c r="G31" s="232">
        <v>58.4</v>
      </c>
      <c r="H31" s="232">
        <v>61.07</v>
      </c>
      <c r="I31" s="100">
        <f t="shared" si="0"/>
        <v>4.5719178082191725E-2</v>
      </c>
      <c r="J31" s="232">
        <f t="shared" si="1"/>
        <v>2.6700000000000017</v>
      </c>
      <c r="K31" s="233">
        <v>50.36</v>
      </c>
      <c r="L31" s="233">
        <v>51.21</v>
      </c>
      <c r="M31" s="233">
        <v>56.82</v>
      </c>
      <c r="N31" s="233">
        <v>67.86</v>
      </c>
      <c r="O31" s="233">
        <v>65.760000000000005</v>
      </c>
      <c r="P31" s="100">
        <f t="shared" si="2"/>
        <v>-3.0946065428823943E-2</v>
      </c>
      <c r="Q31" s="232">
        <f t="shared" si="3"/>
        <v>-2.0999999999999943</v>
      </c>
    </row>
    <row r="32" spans="2:17" x14ac:dyDescent="0.25">
      <c r="B32" s="96" t="s">
        <v>66</v>
      </c>
      <c r="C32" s="230">
        <v>43.27</v>
      </c>
      <c r="D32" s="230">
        <v>41.41</v>
      </c>
      <c r="E32" s="230">
        <v>44.92</v>
      </c>
      <c r="F32" s="230">
        <v>48.39</v>
      </c>
      <c r="G32" s="230">
        <v>55.81</v>
      </c>
      <c r="H32" s="230">
        <v>59.46</v>
      </c>
      <c r="I32" s="98">
        <f t="shared" si="0"/>
        <v>6.540046586633208E-2</v>
      </c>
      <c r="J32" s="230">
        <f t="shared" si="1"/>
        <v>3.6499999999999986</v>
      </c>
      <c r="K32" s="231">
        <v>50.64</v>
      </c>
      <c r="L32" s="231">
        <v>53.65</v>
      </c>
      <c r="M32" s="231">
        <v>58.7</v>
      </c>
      <c r="N32" s="231">
        <v>66.87</v>
      </c>
      <c r="O32" s="231">
        <v>67.77</v>
      </c>
      <c r="P32" s="98">
        <f t="shared" si="2"/>
        <v>1.3458950201884035E-2</v>
      </c>
      <c r="Q32" s="230">
        <f t="shared" si="3"/>
        <v>0.89999999999999147</v>
      </c>
    </row>
    <row r="33" spans="2:17" x14ac:dyDescent="0.25">
      <c r="B33" s="93" t="s">
        <v>52</v>
      </c>
      <c r="C33" s="234">
        <v>86.79</v>
      </c>
      <c r="D33" s="234">
        <v>84.44</v>
      </c>
      <c r="E33" s="234">
        <v>89.45</v>
      </c>
      <c r="F33" s="234">
        <v>98.5</v>
      </c>
      <c r="G33" s="234">
        <v>108.5</v>
      </c>
      <c r="H33" s="234">
        <v>115.69</v>
      </c>
      <c r="I33" s="102">
        <f t="shared" si="0"/>
        <v>6.6267281105990783E-2</v>
      </c>
      <c r="J33" s="234">
        <f t="shared" si="1"/>
        <v>7.1899999999999977</v>
      </c>
      <c r="K33" s="235">
        <v>93.28</v>
      </c>
      <c r="L33" s="235">
        <v>104.36</v>
      </c>
      <c r="M33" s="235">
        <v>114.69</v>
      </c>
      <c r="N33" s="235">
        <v>124.91</v>
      </c>
      <c r="O33" s="235">
        <v>130.72999999999999</v>
      </c>
      <c r="P33" s="102">
        <f t="shared" si="2"/>
        <v>4.6593547354094822E-2</v>
      </c>
      <c r="Q33" s="234">
        <f t="shared" si="3"/>
        <v>5.8199999999999932</v>
      </c>
    </row>
    <row r="34" spans="2:17" x14ac:dyDescent="0.25">
      <c r="B34" s="96" t="s">
        <v>63</v>
      </c>
      <c r="C34" s="230">
        <v>86.79</v>
      </c>
      <c r="D34" s="230">
        <v>84.44</v>
      </c>
      <c r="E34" s="230">
        <v>89.45</v>
      </c>
      <c r="F34" s="230">
        <v>97.58</v>
      </c>
      <c r="G34" s="230">
        <v>108.5</v>
      </c>
      <c r="H34" s="230">
        <v>115.69</v>
      </c>
      <c r="I34" s="98">
        <f t="shared" si="0"/>
        <v>6.6267281105990783E-2</v>
      </c>
      <c r="J34" s="230">
        <f t="shared" si="1"/>
        <v>7.1899999999999977</v>
      </c>
      <c r="K34" s="231">
        <v>93.28</v>
      </c>
      <c r="L34" s="231">
        <v>104.36</v>
      </c>
      <c r="M34" s="231">
        <v>114.69</v>
      </c>
      <c r="N34" s="231">
        <v>124.91</v>
      </c>
      <c r="O34" s="231">
        <v>130.72999999999999</v>
      </c>
      <c r="P34" s="98">
        <f t="shared" si="2"/>
        <v>4.6593547354094822E-2</v>
      </c>
      <c r="Q34" s="230">
        <f t="shared" si="3"/>
        <v>5.8199999999999932</v>
      </c>
    </row>
    <row r="35" spans="2:17" x14ac:dyDescent="0.25">
      <c r="B35" s="93" t="s">
        <v>53</v>
      </c>
      <c r="C35" s="234">
        <v>106.13</v>
      </c>
      <c r="D35" s="234">
        <v>125.31</v>
      </c>
      <c r="E35" s="234">
        <v>128.24</v>
      </c>
      <c r="F35" s="234">
        <v>149.08000000000001</v>
      </c>
      <c r="G35" s="234">
        <v>167.62</v>
      </c>
      <c r="H35" s="234">
        <v>191.89</v>
      </c>
      <c r="I35" s="102">
        <f t="shared" si="0"/>
        <v>0.14479179095573302</v>
      </c>
      <c r="J35" s="234">
        <f t="shared" si="1"/>
        <v>24.269999999999982</v>
      </c>
      <c r="K35" s="235">
        <v>128.15</v>
      </c>
      <c r="L35" s="235">
        <v>138.83000000000001</v>
      </c>
      <c r="M35" s="235">
        <v>165.52</v>
      </c>
      <c r="N35" s="235">
        <v>206.47</v>
      </c>
      <c r="O35" s="235">
        <v>239.78</v>
      </c>
      <c r="P35" s="102">
        <f t="shared" si="2"/>
        <v>0.16133094396280323</v>
      </c>
      <c r="Q35" s="234">
        <f t="shared" si="3"/>
        <v>33.31</v>
      </c>
    </row>
    <row r="36" spans="2:17" x14ac:dyDescent="0.25">
      <c r="B36" s="96" t="s">
        <v>63</v>
      </c>
      <c r="C36" s="230">
        <v>133.72</v>
      </c>
      <c r="D36" s="230">
        <v>131.41999999999999</v>
      </c>
      <c r="E36" s="230">
        <v>137.6</v>
      </c>
      <c r="F36" s="230">
        <v>157.52000000000001</v>
      </c>
      <c r="G36" s="230">
        <v>177.79</v>
      </c>
      <c r="H36" s="230">
        <v>204.84</v>
      </c>
      <c r="I36" s="98">
        <f t="shared" si="0"/>
        <v>0.15214578997693917</v>
      </c>
      <c r="J36" s="230">
        <f t="shared" si="1"/>
        <v>27.050000000000011</v>
      </c>
      <c r="K36" s="231">
        <v>134.93</v>
      </c>
      <c r="L36" s="231">
        <v>143.77000000000001</v>
      </c>
      <c r="M36" s="231">
        <v>170.62</v>
      </c>
      <c r="N36" s="231">
        <v>219.2</v>
      </c>
      <c r="O36" s="231">
        <v>252.73</v>
      </c>
      <c r="P36" s="98">
        <f t="shared" si="2"/>
        <v>0.15296532846715327</v>
      </c>
      <c r="Q36" s="230">
        <f t="shared" si="3"/>
        <v>33.53</v>
      </c>
    </row>
    <row r="37" spans="2:17" x14ac:dyDescent="0.25">
      <c r="B37" s="96" t="s">
        <v>66</v>
      </c>
      <c r="C37" s="230">
        <v>41.89</v>
      </c>
      <c r="D37" s="230">
        <v>74.180000000000007</v>
      </c>
      <c r="E37" s="230">
        <v>84.08</v>
      </c>
      <c r="F37" s="230">
        <v>104.15</v>
      </c>
      <c r="G37" s="230">
        <v>109.88</v>
      </c>
      <c r="H37" s="230">
        <v>124.4</v>
      </c>
      <c r="I37" s="98">
        <f t="shared" si="0"/>
        <v>0.1321441572624682</v>
      </c>
      <c r="J37" s="230">
        <f t="shared" si="1"/>
        <v>14.52000000000001</v>
      </c>
      <c r="K37" s="231">
        <v>95.65</v>
      </c>
      <c r="L37" s="231">
        <v>125.42</v>
      </c>
      <c r="M37" s="231">
        <v>138.54</v>
      </c>
      <c r="N37" s="231">
        <v>137.52000000000001</v>
      </c>
      <c r="O37" s="231">
        <v>174.12</v>
      </c>
      <c r="P37" s="98">
        <f t="shared" si="2"/>
        <v>0.2661431064572426</v>
      </c>
      <c r="Q37" s="230">
        <f t="shared" si="3"/>
        <v>36.599999999999994</v>
      </c>
    </row>
    <row r="38" spans="2:17" x14ac:dyDescent="0.25">
      <c r="B38" s="93" t="s">
        <v>54</v>
      </c>
      <c r="C38" s="234">
        <v>64.19</v>
      </c>
      <c r="D38" s="234">
        <v>68.989999999999995</v>
      </c>
      <c r="E38" s="234">
        <v>76.34</v>
      </c>
      <c r="F38" s="234">
        <v>86.56</v>
      </c>
      <c r="G38" s="234">
        <v>96.87</v>
      </c>
      <c r="H38" s="234">
        <v>102.34</v>
      </c>
      <c r="I38" s="102">
        <f t="shared" si="0"/>
        <v>5.646743057706205E-2</v>
      </c>
      <c r="J38" s="234">
        <f t="shared" si="1"/>
        <v>5.4699999999999989</v>
      </c>
      <c r="K38" s="235">
        <v>77.33</v>
      </c>
      <c r="L38" s="235">
        <v>85.51</v>
      </c>
      <c r="M38" s="235">
        <v>98.37</v>
      </c>
      <c r="N38" s="235">
        <v>114.68</v>
      </c>
      <c r="O38" s="235">
        <v>109.57</v>
      </c>
      <c r="P38" s="102">
        <f t="shared" si="2"/>
        <v>-4.4558772235786637E-2</v>
      </c>
      <c r="Q38" s="234">
        <f t="shared" si="3"/>
        <v>-5.1100000000000136</v>
      </c>
    </row>
    <row r="39" spans="2:17" x14ac:dyDescent="0.25">
      <c r="B39" s="96" t="s">
        <v>63</v>
      </c>
      <c r="C39" s="230">
        <v>64.19</v>
      </c>
      <c r="D39" s="230">
        <v>68.989999999999995</v>
      </c>
      <c r="E39" s="230">
        <v>76.34</v>
      </c>
      <c r="F39" s="230">
        <v>85.99</v>
      </c>
      <c r="G39" s="230">
        <v>96.87</v>
      </c>
      <c r="H39" s="230">
        <v>102.34</v>
      </c>
      <c r="I39" s="98">
        <f t="shared" si="0"/>
        <v>5.646743057706205E-2</v>
      </c>
      <c r="J39" s="230">
        <f t="shared" si="1"/>
        <v>5.4699999999999989</v>
      </c>
      <c r="K39" s="231">
        <v>77.33</v>
      </c>
      <c r="L39" s="231">
        <v>85.51</v>
      </c>
      <c r="M39" s="231">
        <v>98.37</v>
      </c>
      <c r="N39" s="231">
        <v>114.68</v>
      </c>
      <c r="O39" s="231">
        <v>109.57</v>
      </c>
      <c r="P39" s="98">
        <f t="shared" si="2"/>
        <v>-4.4558772235786637E-2</v>
      </c>
      <c r="Q39" s="230">
        <f t="shared" si="3"/>
        <v>-5.1100000000000136</v>
      </c>
    </row>
    <row r="40" spans="2:17" x14ac:dyDescent="0.25">
      <c r="B40" s="99" t="s">
        <v>64</v>
      </c>
      <c r="C40" s="232">
        <v>76.319999999999993</v>
      </c>
      <c r="D40" s="232">
        <v>76.47</v>
      </c>
      <c r="E40" s="232">
        <v>90.03</v>
      </c>
      <c r="F40" s="232">
        <v>100.71</v>
      </c>
      <c r="G40" s="232">
        <v>115.08</v>
      </c>
      <c r="H40" s="232">
        <v>119.72</v>
      </c>
      <c r="I40" s="100">
        <f t="shared" si="0"/>
        <v>4.0319777546054869E-2</v>
      </c>
      <c r="J40" s="232">
        <f t="shared" si="1"/>
        <v>4.6400000000000006</v>
      </c>
      <c r="K40" s="233">
        <v>86.76</v>
      </c>
      <c r="L40" s="233">
        <v>106.32</v>
      </c>
      <c r="M40" s="233">
        <v>120.13</v>
      </c>
      <c r="N40" s="233">
        <v>140.93</v>
      </c>
      <c r="O40" s="233">
        <v>131.49</v>
      </c>
      <c r="P40" s="100">
        <f t="shared" si="2"/>
        <v>-6.6983608883843027E-2</v>
      </c>
      <c r="Q40" s="232">
        <f t="shared" si="3"/>
        <v>-9.4399999999999977</v>
      </c>
    </row>
    <row r="41" spans="2:17" x14ac:dyDescent="0.25">
      <c r="B41" s="99" t="s">
        <v>65</v>
      </c>
      <c r="C41" s="232">
        <v>52.19</v>
      </c>
      <c r="D41" s="232">
        <v>57.98</v>
      </c>
      <c r="E41" s="232">
        <v>57.94</v>
      </c>
      <c r="F41" s="232">
        <v>66.849999999999994</v>
      </c>
      <c r="G41" s="232">
        <v>70.069999999999993</v>
      </c>
      <c r="H41" s="232">
        <v>70.59</v>
      </c>
      <c r="I41" s="100">
        <f t="shared" si="0"/>
        <v>7.4211502782932648E-3</v>
      </c>
      <c r="J41" s="232">
        <f t="shared" si="1"/>
        <v>0.52000000000001023</v>
      </c>
      <c r="K41" s="233">
        <v>63.11</v>
      </c>
      <c r="L41" s="233">
        <v>61.48</v>
      </c>
      <c r="M41" s="233">
        <v>69.53</v>
      </c>
      <c r="N41" s="233">
        <v>70.97</v>
      </c>
      <c r="O41" s="233">
        <v>73.11</v>
      </c>
      <c r="P41" s="100">
        <f t="shared" si="2"/>
        <v>3.0153586022263035E-2</v>
      </c>
      <c r="Q41" s="232">
        <f t="shared" si="3"/>
        <v>2.1400000000000006</v>
      </c>
    </row>
    <row r="42" spans="2:17" x14ac:dyDescent="0.25">
      <c r="B42" s="93" t="s">
        <v>55</v>
      </c>
      <c r="C42" s="234">
        <v>102.24</v>
      </c>
      <c r="D42" s="234">
        <v>98.71</v>
      </c>
      <c r="E42" s="234">
        <v>114.3</v>
      </c>
      <c r="F42" s="234">
        <v>129.22</v>
      </c>
      <c r="G42" s="234">
        <v>138.65</v>
      </c>
      <c r="H42" s="234">
        <v>118.46</v>
      </c>
      <c r="I42" s="102">
        <f t="shared" si="0"/>
        <v>-0.1456184637576633</v>
      </c>
      <c r="J42" s="234">
        <f t="shared" si="1"/>
        <v>-20.190000000000012</v>
      </c>
      <c r="K42" s="235">
        <v>117.31</v>
      </c>
      <c r="L42" s="235">
        <v>125.84</v>
      </c>
      <c r="M42" s="235">
        <v>142.44</v>
      </c>
      <c r="N42" s="235">
        <v>124.39</v>
      </c>
      <c r="O42" s="235">
        <v>129.66</v>
      </c>
      <c r="P42" s="102">
        <f t="shared" si="2"/>
        <v>4.2366749738725007E-2</v>
      </c>
      <c r="Q42" s="234">
        <f t="shared" si="3"/>
        <v>5.269999999999996</v>
      </c>
    </row>
    <row r="43" spans="2:17" x14ac:dyDescent="0.25">
      <c r="B43" s="96" t="s">
        <v>63</v>
      </c>
      <c r="C43" s="230">
        <v>108.14</v>
      </c>
      <c r="D43" s="230">
        <v>104.52</v>
      </c>
      <c r="E43" s="230">
        <v>121.1</v>
      </c>
      <c r="F43" s="230">
        <v>138.26</v>
      </c>
      <c r="G43" s="230">
        <v>145.62</v>
      </c>
      <c r="H43" s="230">
        <v>121.32</v>
      </c>
      <c r="I43" s="98">
        <f t="shared" si="0"/>
        <v>-0.16687268232385666</v>
      </c>
      <c r="J43" s="230">
        <f t="shared" si="1"/>
        <v>-24.300000000000011</v>
      </c>
      <c r="K43" s="231">
        <v>122.72</v>
      </c>
      <c r="L43" s="231">
        <v>138.32</v>
      </c>
      <c r="M43" s="231">
        <v>149.97</v>
      </c>
      <c r="N43" s="231">
        <v>126.07</v>
      </c>
      <c r="O43" s="231">
        <v>131.27000000000001</v>
      </c>
      <c r="P43" s="98">
        <f t="shared" si="2"/>
        <v>4.1246926310779752E-2</v>
      </c>
      <c r="Q43" s="230">
        <f t="shared" si="3"/>
        <v>5.2000000000000171</v>
      </c>
    </row>
    <row r="44" spans="2:17" x14ac:dyDescent="0.25">
      <c r="B44" s="99" t="s">
        <v>64</v>
      </c>
      <c r="C44" s="232">
        <v>0</v>
      </c>
      <c r="D44" s="232">
        <v>111.35</v>
      </c>
      <c r="E44" s="232">
        <v>128.75</v>
      </c>
      <c r="F44" s="232">
        <v>147.52000000000001</v>
      </c>
      <c r="G44" s="232">
        <v>153.44</v>
      </c>
      <c r="H44" s="232">
        <v>124</v>
      </c>
      <c r="I44" s="100">
        <f t="shared" si="0"/>
        <v>-0.19186652763295098</v>
      </c>
      <c r="J44" s="232">
        <f t="shared" si="1"/>
        <v>-29.439999999999998</v>
      </c>
      <c r="K44" s="233">
        <v>128.72</v>
      </c>
      <c r="L44" s="233">
        <v>145.88999999999999</v>
      </c>
      <c r="M44" s="233">
        <v>159.9</v>
      </c>
      <c r="N44" s="233">
        <v>128.66999999999999</v>
      </c>
      <c r="O44" s="233">
        <v>133.97</v>
      </c>
      <c r="P44" s="100">
        <f t="shared" si="2"/>
        <v>4.1190642729463045E-2</v>
      </c>
      <c r="Q44" s="232">
        <f t="shared" si="3"/>
        <v>5.3000000000000114</v>
      </c>
    </row>
    <row r="45" spans="2:17" x14ac:dyDescent="0.25">
      <c r="B45" s="99" t="s">
        <v>65</v>
      </c>
      <c r="C45" s="232">
        <v>0</v>
      </c>
      <c r="D45" s="232">
        <v>79.67</v>
      </c>
      <c r="E45" s="232">
        <v>92.67</v>
      </c>
      <c r="F45" s="232">
        <v>101.68</v>
      </c>
      <c r="G45" s="232">
        <v>114.46</v>
      </c>
      <c r="H45" s="232">
        <v>110.64</v>
      </c>
      <c r="I45" s="100">
        <f t="shared" si="0"/>
        <v>-3.3374104490651701E-2</v>
      </c>
      <c r="J45" s="232">
        <f t="shared" si="1"/>
        <v>-3.8199999999999932</v>
      </c>
      <c r="K45" s="233">
        <v>100.51</v>
      </c>
      <c r="L45" s="233">
        <v>109.46</v>
      </c>
      <c r="M45" s="233">
        <v>111.21</v>
      </c>
      <c r="N45" s="233">
        <v>114.91</v>
      </c>
      <c r="O45" s="233">
        <v>119.55</v>
      </c>
      <c r="P45" s="100">
        <f t="shared" si="2"/>
        <v>4.0379427377947863E-2</v>
      </c>
      <c r="Q45" s="232">
        <f t="shared" si="3"/>
        <v>4.6400000000000006</v>
      </c>
    </row>
    <row r="46" spans="2:17" x14ac:dyDescent="0.25">
      <c r="B46" s="96" t="s">
        <v>66</v>
      </c>
      <c r="C46" s="230">
        <v>76.39</v>
      </c>
      <c r="D46" s="230">
        <v>66.930000000000007</v>
      </c>
      <c r="E46" s="230">
        <v>75.3</v>
      </c>
      <c r="F46" s="230">
        <v>77.459999999999994</v>
      </c>
      <c r="G46" s="230">
        <v>94.86</v>
      </c>
      <c r="H46" s="230">
        <v>101.95</v>
      </c>
      <c r="I46" s="98">
        <f t="shared" si="0"/>
        <v>7.4741724646848029E-2</v>
      </c>
      <c r="J46" s="230">
        <f t="shared" si="1"/>
        <v>7.0900000000000034</v>
      </c>
      <c r="K46" s="231">
        <v>89.68</v>
      </c>
      <c r="L46" s="231">
        <v>91.17</v>
      </c>
      <c r="M46" s="231">
        <v>99.79</v>
      </c>
      <c r="N46" s="231">
        <v>115.18</v>
      </c>
      <c r="O46" s="231">
        <v>121.21</v>
      </c>
      <c r="P46" s="98">
        <f t="shared" si="2"/>
        <v>5.2352839034554455E-2</v>
      </c>
      <c r="Q46" s="230">
        <f t="shared" si="3"/>
        <v>6.0299999999999869</v>
      </c>
    </row>
    <row r="47" spans="2:17" x14ac:dyDescent="0.25">
      <c r="B47" s="93" t="s">
        <v>56</v>
      </c>
      <c r="C47" s="234">
        <v>58.1</v>
      </c>
      <c r="D47" s="234">
        <v>74.28</v>
      </c>
      <c r="E47" s="234">
        <v>64.31</v>
      </c>
      <c r="F47" s="234">
        <v>69.86</v>
      </c>
      <c r="G47" s="234">
        <v>72.73</v>
      </c>
      <c r="H47" s="234">
        <v>77.06</v>
      </c>
      <c r="I47" s="102">
        <f t="shared" si="0"/>
        <v>5.9535267427471394E-2</v>
      </c>
      <c r="J47" s="234">
        <f t="shared" si="1"/>
        <v>4.3299999999999983</v>
      </c>
      <c r="K47" s="235">
        <v>80.260000000000005</v>
      </c>
      <c r="L47" s="235">
        <v>73.62</v>
      </c>
      <c r="M47" s="235">
        <v>80.040000000000006</v>
      </c>
      <c r="N47" s="235">
        <v>85.83</v>
      </c>
      <c r="O47" s="235">
        <v>103.75</v>
      </c>
      <c r="P47" s="102">
        <f t="shared" si="2"/>
        <v>0.20878480717697778</v>
      </c>
      <c r="Q47" s="234">
        <f t="shared" si="3"/>
        <v>17.920000000000002</v>
      </c>
    </row>
    <row r="48" spans="2:17" x14ac:dyDescent="0.25">
      <c r="B48" s="96" t="s">
        <v>63</v>
      </c>
      <c r="C48" s="230">
        <v>57.83</v>
      </c>
      <c r="D48" s="230">
        <v>74.63</v>
      </c>
      <c r="E48" s="230">
        <v>64.650000000000006</v>
      </c>
      <c r="F48" s="230">
        <v>69.67</v>
      </c>
      <c r="G48" s="230">
        <v>73.94</v>
      </c>
      <c r="H48" s="230">
        <v>78.400000000000006</v>
      </c>
      <c r="I48" s="98">
        <f t="shared" si="0"/>
        <v>6.0319177711658289E-2</v>
      </c>
      <c r="J48" s="230">
        <f t="shared" si="1"/>
        <v>4.460000000000008</v>
      </c>
      <c r="K48" s="231">
        <v>80.89</v>
      </c>
      <c r="L48" s="231">
        <v>73.760000000000005</v>
      </c>
      <c r="M48" s="231">
        <v>80.900000000000006</v>
      </c>
      <c r="N48" s="231">
        <v>85.77</v>
      </c>
      <c r="O48" s="231">
        <v>106.01</v>
      </c>
      <c r="P48" s="98">
        <f t="shared" si="2"/>
        <v>0.23597994636819419</v>
      </c>
      <c r="Q48" s="230">
        <f t="shared" si="3"/>
        <v>20.240000000000009</v>
      </c>
    </row>
    <row r="49" spans="2:17" x14ac:dyDescent="0.25">
      <c r="B49" s="99" t="s">
        <v>64</v>
      </c>
      <c r="C49" s="232">
        <v>59.72</v>
      </c>
      <c r="D49" s="232">
        <v>75.540000000000006</v>
      </c>
      <c r="E49" s="232">
        <v>69.69</v>
      </c>
      <c r="F49" s="232">
        <v>75.87</v>
      </c>
      <c r="G49" s="232">
        <v>79.3</v>
      </c>
      <c r="H49" s="232">
        <v>83.59</v>
      </c>
      <c r="I49" s="100">
        <f t="shared" si="0"/>
        <v>5.4098360655737698E-2</v>
      </c>
      <c r="J49" s="232">
        <f t="shared" si="1"/>
        <v>4.2900000000000063</v>
      </c>
      <c r="K49" s="233">
        <v>82.41</v>
      </c>
      <c r="L49" s="233">
        <v>82.91</v>
      </c>
      <c r="M49" s="233">
        <v>86.88</v>
      </c>
      <c r="N49" s="233">
        <v>92.65</v>
      </c>
      <c r="O49" s="233">
        <v>118.65</v>
      </c>
      <c r="P49" s="100">
        <f t="shared" si="2"/>
        <v>0.28062601187263891</v>
      </c>
      <c r="Q49" s="232">
        <f t="shared" si="3"/>
        <v>26</v>
      </c>
    </row>
    <row r="50" spans="2:17" x14ac:dyDescent="0.25">
      <c r="B50" s="99" t="s">
        <v>65</v>
      </c>
      <c r="C50" s="232">
        <v>52.07</v>
      </c>
      <c r="D50" s="232">
        <v>70.77</v>
      </c>
      <c r="E50" s="232">
        <v>51.36</v>
      </c>
      <c r="F50" s="232">
        <v>51.62</v>
      </c>
      <c r="G50" s="232">
        <v>60.16</v>
      </c>
      <c r="H50" s="232">
        <v>64.61</v>
      </c>
      <c r="I50" s="100">
        <f t="shared" si="0"/>
        <v>7.3969414893616969E-2</v>
      </c>
      <c r="J50" s="232">
        <f t="shared" si="1"/>
        <v>4.4500000000000028</v>
      </c>
      <c r="K50" s="233">
        <v>75.33</v>
      </c>
      <c r="L50" s="233">
        <v>54.27</v>
      </c>
      <c r="M50" s="233">
        <v>66</v>
      </c>
      <c r="N50" s="233">
        <v>69.16</v>
      </c>
      <c r="O50" s="233">
        <v>73.900000000000006</v>
      </c>
      <c r="P50" s="100">
        <f t="shared" si="2"/>
        <v>6.8536726431463357E-2</v>
      </c>
      <c r="Q50" s="232">
        <f t="shared" si="3"/>
        <v>4.7400000000000091</v>
      </c>
    </row>
    <row r="51" spans="2:17" x14ac:dyDescent="0.25">
      <c r="B51" s="96" t="s">
        <v>66</v>
      </c>
      <c r="C51" s="230">
        <v>83.93</v>
      </c>
      <c r="D51" s="230">
        <v>154.72</v>
      </c>
      <c r="E51" s="230">
        <v>202.14</v>
      </c>
      <c r="F51" s="230">
        <v>163.5</v>
      </c>
      <c r="G51" s="230">
        <v>90.36</v>
      </c>
      <c r="H51" s="230">
        <v>97.54</v>
      </c>
      <c r="I51" s="98">
        <f t="shared" si="0"/>
        <v>7.9459938025675081E-2</v>
      </c>
      <c r="J51" s="230">
        <f t="shared" si="1"/>
        <v>7.1800000000000068</v>
      </c>
      <c r="K51" s="231">
        <v>63.33</v>
      </c>
      <c r="L51" s="231">
        <v>304.43</v>
      </c>
      <c r="M51" s="231">
        <v>199.07</v>
      </c>
      <c r="N51" s="231">
        <v>115.46</v>
      </c>
      <c r="O51" s="231">
        <v>118.33</v>
      </c>
      <c r="P51" s="98">
        <f t="shared" si="2"/>
        <v>2.4857093365667771E-2</v>
      </c>
      <c r="Q51" s="230">
        <f t="shared" si="3"/>
        <v>2.8700000000000045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974A4-857B-49C9-ABFB-863D592625B4}">
  <sheetPr>
    <tabColor theme="2" tint="-9.9978637043366805E-2"/>
  </sheetPr>
  <dimension ref="B1:Q53"/>
  <sheetViews>
    <sheetView showGridLines="0" zoomScaleNormal="10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9" width="10.7109375" customWidth="1"/>
    <col min="10" max="10" width="9.7109375" customWidth="1"/>
    <col min="11" max="15" width="12.28515625" customWidth="1"/>
    <col min="16" max="17" width="10.7109375" customWidth="1"/>
    <col min="18" max="18" width="14.42578125" customWidth="1"/>
    <col min="19" max="20" width="7.85546875" customWidth="1"/>
    <col min="21" max="21" width="8.140625" customWidth="1"/>
    <col min="22" max="22" width="9" customWidth="1"/>
    <col min="23" max="24" width="9.42578125" customWidth="1"/>
  </cols>
  <sheetData>
    <row r="1" spans="2:17" ht="42.75" customHeight="1" x14ac:dyDescent="0.25"/>
    <row r="3" spans="2:17" ht="30.75" customHeight="1" thickBot="1" x14ac:dyDescent="0.3">
      <c r="B3" s="84" t="str">
        <f>CONCATENATE("Ingresos medios por habitación (RevPar) Tenerife y municipios")</f>
        <v>Ingresos medios por habitación (RevPar)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2:17" ht="6.95" customHeight="1" thickBot="1" x14ac:dyDescent="0.3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6"/>
      <c r="P4" s="86"/>
      <c r="Q4" s="86"/>
    </row>
    <row r="5" spans="2:17" ht="59.25" customHeight="1" x14ac:dyDescent="0.25">
      <c r="B5" s="90"/>
      <c r="C5" s="14">
        <v>2020</v>
      </c>
      <c r="D5" s="14">
        <v>2021</v>
      </c>
      <c r="E5" s="14">
        <v>2022</v>
      </c>
      <c r="F5" s="14">
        <v>2023</v>
      </c>
      <c r="G5" s="14">
        <v>2024</v>
      </c>
      <c r="H5" s="14">
        <v>2025</v>
      </c>
      <c r="I5" s="91" t="str">
        <f>CONCATENATE("var. ",RIGHT(H5,2),"/",RIGHT(G5,2))</f>
        <v>var. 25/24</v>
      </c>
      <c r="J5" s="91" t="str">
        <f>CONCATENATE("dif. ",RIGHT(H5,2),"/",RIGHT(G5,2))</f>
        <v>dif. 25/24</v>
      </c>
      <c r="K5" s="92" t="s">
        <v>231</v>
      </c>
      <c r="L5" s="92" t="s">
        <v>232</v>
      </c>
      <c r="M5" s="92" t="s">
        <v>233</v>
      </c>
      <c r="N5" s="92" t="s">
        <v>234</v>
      </c>
      <c r="O5" s="92" t="s">
        <v>235</v>
      </c>
      <c r="P5" s="91" t="str">
        <f>CONCATENATE("var. ",RIGHT(O5,2),"/",RIGHT(N5,2))</f>
        <v>var. 25/24</v>
      </c>
      <c r="Q5" s="91" t="str">
        <f>CONCATENATE("dif. ",RIGHT(O5,2),"/",RIGHT(N5,2))</f>
        <v>dif. 25/24</v>
      </c>
    </row>
    <row r="6" spans="2:17" x14ac:dyDescent="0.25">
      <c r="B6" s="93" t="s">
        <v>46</v>
      </c>
      <c r="C6" s="228">
        <v>48.13</v>
      </c>
      <c r="D6" s="228">
        <v>53</v>
      </c>
      <c r="E6" s="228">
        <v>80.489999999999995</v>
      </c>
      <c r="F6" s="228">
        <v>93.36</v>
      </c>
      <c r="G6" s="228">
        <v>104.71</v>
      </c>
      <c r="H6" s="228">
        <v>109.92</v>
      </c>
      <c r="I6" s="95">
        <f t="shared" ref="I6:I51" si="0">IFERROR(H6/G6-1,"-")</f>
        <v>4.9756470251169915E-2</v>
      </c>
      <c r="J6" s="228">
        <f t="shared" ref="J6:J51" si="1">IFERROR(H6-G6,"-")</f>
        <v>5.210000000000008</v>
      </c>
      <c r="K6" s="229">
        <v>73.5</v>
      </c>
      <c r="L6" s="229">
        <v>93.77</v>
      </c>
      <c r="M6" s="229">
        <v>112.26</v>
      </c>
      <c r="N6" s="229">
        <v>122</v>
      </c>
      <c r="O6" s="229">
        <v>128.13</v>
      </c>
      <c r="P6" s="95">
        <f t="shared" ref="P6:P51" si="2">IFERROR(O6/N6-1,"-")</f>
        <v>5.024590163934417E-2</v>
      </c>
      <c r="Q6" s="228">
        <f t="shared" ref="Q6:Q51" si="3">IFERROR(O6-N6,"-")</f>
        <v>6.1299999999999955</v>
      </c>
    </row>
    <row r="7" spans="2:17" x14ac:dyDescent="0.25">
      <c r="B7" s="96" t="s">
        <v>63</v>
      </c>
      <c r="C7" s="230">
        <v>53.19</v>
      </c>
      <c r="D7" s="230">
        <v>60.01</v>
      </c>
      <c r="E7" s="230">
        <v>88.2</v>
      </c>
      <c r="F7" s="230">
        <v>102.78</v>
      </c>
      <c r="G7" s="230">
        <v>114.6</v>
      </c>
      <c r="H7" s="230">
        <v>119.42</v>
      </c>
      <c r="I7" s="98">
        <f t="shared" si="0"/>
        <v>4.205933682373475E-2</v>
      </c>
      <c r="J7" s="230">
        <f t="shared" si="1"/>
        <v>4.8200000000000074</v>
      </c>
      <c r="K7" s="231">
        <v>79.45</v>
      </c>
      <c r="L7" s="231">
        <v>106.8</v>
      </c>
      <c r="M7" s="231">
        <v>122.66</v>
      </c>
      <c r="N7" s="231">
        <v>132.19</v>
      </c>
      <c r="O7" s="231">
        <v>138.32</v>
      </c>
      <c r="P7" s="98">
        <f t="shared" si="2"/>
        <v>4.6372645434601623E-2</v>
      </c>
      <c r="Q7" s="230">
        <f t="shared" si="3"/>
        <v>6.1299999999999955</v>
      </c>
    </row>
    <row r="8" spans="2:17" x14ac:dyDescent="0.25">
      <c r="B8" s="99" t="s">
        <v>64</v>
      </c>
      <c r="C8" s="232">
        <v>58.8</v>
      </c>
      <c r="D8" s="232">
        <v>66.349999999999994</v>
      </c>
      <c r="E8" s="232">
        <v>96.91</v>
      </c>
      <c r="F8" s="232">
        <v>111.51</v>
      </c>
      <c r="G8" s="232">
        <v>124.22</v>
      </c>
      <c r="H8" s="232">
        <v>128.75</v>
      </c>
      <c r="I8" s="100">
        <f t="shared" si="0"/>
        <v>3.6467557559169306E-2</v>
      </c>
      <c r="J8" s="232">
        <f t="shared" si="1"/>
        <v>4.5300000000000011</v>
      </c>
      <c r="K8" s="233">
        <v>86.29</v>
      </c>
      <c r="L8" s="233">
        <v>116.69</v>
      </c>
      <c r="M8" s="233">
        <v>132.59</v>
      </c>
      <c r="N8" s="233">
        <v>143.19</v>
      </c>
      <c r="O8" s="233">
        <v>148.34</v>
      </c>
      <c r="P8" s="100">
        <f t="shared" si="2"/>
        <v>3.5966198756896439E-2</v>
      </c>
      <c r="Q8" s="232">
        <f t="shared" si="3"/>
        <v>5.1500000000000057</v>
      </c>
    </row>
    <row r="9" spans="2:17" x14ac:dyDescent="0.25">
      <c r="B9" s="99" t="s">
        <v>65</v>
      </c>
      <c r="C9" s="232">
        <v>29.69</v>
      </c>
      <c r="D9" s="232">
        <v>31.06</v>
      </c>
      <c r="E9" s="232">
        <v>47.58</v>
      </c>
      <c r="F9" s="232">
        <v>58.53</v>
      </c>
      <c r="G9" s="232">
        <v>65.06</v>
      </c>
      <c r="H9" s="232">
        <v>70</v>
      </c>
      <c r="I9" s="100">
        <f t="shared" si="0"/>
        <v>7.5929910851521676E-2</v>
      </c>
      <c r="J9" s="232">
        <f t="shared" si="1"/>
        <v>4.9399999999999977</v>
      </c>
      <c r="K9" s="233">
        <v>46.71</v>
      </c>
      <c r="L9" s="233">
        <v>61.06</v>
      </c>
      <c r="M9" s="233">
        <v>71.63</v>
      </c>
      <c r="N9" s="233">
        <v>74.77</v>
      </c>
      <c r="O9" s="233">
        <v>82.81</v>
      </c>
      <c r="P9" s="100">
        <f t="shared" si="2"/>
        <v>0.10752975792430131</v>
      </c>
      <c r="Q9" s="232">
        <f t="shared" si="3"/>
        <v>8.0400000000000063</v>
      </c>
    </row>
    <row r="10" spans="2:17" x14ac:dyDescent="0.25">
      <c r="B10" s="96" t="s">
        <v>66</v>
      </c>
      <c r="C10" s="230">
        <v>33.86</v>
      </c>
      <c r="D10" s="230">
        <v>30.93</v>
      </c>
      <c r="E10" s="230">
        <v>54.98</v>
      </c>
      <c r="F10" s="230">
        <v>60.79</v>
      </c>
      <c r="G10" s="230">
        <v>70.34</v>
      </c>
      <c r="H10" s="230">
        <v>77.86</v>
      </c>
      <c r="I10" s="98">
        <f t="shared" si="0"/>
        <v>0.10690929769690061</v>
      </c>
      <c r="J10" s="230">
        <f t="shared" si="1"/>
        <v>7.519999999999996</v>
      </c>
      <c r="K10" s="231">
        <v>50.95</v>
      </c>
      <c r="L10" s="231">
        <v>70.58</v>
      </c>
      <c r="M10" s="231">
        <v>76.92</v>
      </c>
      <c r="N10" s="231">
        <v>86.64</v>
      </c>
      <c r="O10" s="231">
        <v>92.55</v>
      </c>
      <c r="P10" s="98">
        <f t="shared" si="2"/>
        <v>6.8213296398891954E-2</v>
      </c>
      <c r="Q10" s="230">
        <f t="shared" si="3"/>
        <v>5.9099999999999966</v>
      </c>
    </row>
    <row r="11" spans="2:17" x14ac:dyDescent="0.25">
      <c r="B11" s="93" t="s">
        <v>47</v>
      </c>
      <c r="C11" s="234">
        <v>61.17</v>
      </c>
      <c r="D11" s="234">
        <v>72.88</v>
      </c>
      <c r="E11" s="234">
        <v>107.4</v>
      </c>
      <c r="F11" s="234">
        <v>119.28</v>
      </c>
      <c r="G11" s="234">
        <v>131.19999999999999</v>
      </c>
      <c r="H11" s="234">
        <v>135.62</v>
      </c>
      <c r="I11" s="102">
        <f t="shared" si="0"/>
        <v>3.3689024390244127E-2</v>
      </c>
      <c r="J11" s="234">
        <f t="shared" si="1"/>
        <v>4.4200000000000159</v>
      </c>
      <c r="K11" s="235">
        <v>100.66</v>
      </c>
      <c r="L11" s="235">
        <v>123.19</v>
      </c>
      <c r="M11" s="235">
        <v>145.85</v>
      </c>
      <c r="N11" s="235">
        <v>155.86000000000001</v>
      </c>
      <c r="O11" s="235">
        <v>156.93</v>
      </c>
      <c r="P11" s="102">
        <f t="shared" si="2"/>
        <v>6.8651353779032309E-3</v>
      </c>
      <c r="Q11" s="234">
        <f t="shared" si="3"/>
        <v>1.0699999999999932</v>
      </c>
    </row>
    <row r="12" spans="2:17" x14ac:dyDescent="0.25">
      <c r="B12" s="96" t="s">
        <v>63</v>
      </c>
      <c r="C12" s="230">
        <v>66.36</v>
      </c>
      <c r="D12" s="230">
        <v>79.650000000000006</v>
      </c>
      <c r="E12" s="230">
        <v>116.54</v>
      </c>
      <c r="F12" s="230">
        <v>130.32</v>
      </c>
      <c r="G12" s="230">
        <v>144.96</v>
      </c>
      <c r="H12" s="230">
        <v>149.71</v>
      </c>
      <c r="I12" s="98">
        <f t="shared" si="0"/>
        <v>3.2767660044150215E-2</v>
      </c>
      <c r="J12" s="230">
        <f t="shared" si="1"/>
        <v>4.75</v>
      </c>
      <c r="K12" s="231">
        <v>107.83</v>
      </c>
      <c r="L12" s="231">
        <v>141.88</v>
      </c>
      <c r="M12" s="231">
        <v>158.15</v>
      </c>
      <c r="N12" s="231">
        <v>170.33</v>
      </c>
      <c r="O12" s="231">
        <v>169.02</v>
      </c>
      <c r="P12" s="98">
        <f t="shared" si="2"/>
        <v>-7.6909528562203455E-3</v>
      </c>
      <c r="Q12" s="230">
        <f t="shared" si="3"/>
        <v>-1.3100000000000023</v>
      </c>
    </row>
    <row r="13" spans="2:17" x14ac:dyDescent="0.25">
      <c r="B13" s="99" t="s">
        <v>64</v>
      </c>
      <c r="C13" s="232">
        <v>71.150000000000006</v>
      </c>
      <c r="D13" s="232">
        <v>85.14</v>
      </c>
      <c r="E13" s="232">
        <v>125.38</v>
      </c>
      <c r="F13" s="232">
        <v>139.61000000000001</v>
      </c>
      <c r="G13" s="232">
        <v>154.63999999999999</v>
      </c>
      <c r="H13" s="232">
        <v>159.75</v>
      </c>
      <c r="I13" s="100">
        <f t="shared" si="0"/>
        <v>3.304449042938451E-2</v>
      </c>
      <c r="J13" s="232">
        <f t="shared" si="1"/>
        <v>5.1100000000000136</v>
      </c>
      <c r="K13" s="233">
        <v>114.97</v>
      </c>
      <c r="L13" s="233">
        <v>152.63</v>
      </c>
      <c r="M13" s="233">
        <v>168.62</v>
      </c>
      <c r="N13" s="233">
        <v>181.4</v>
      </c>
      <c r="O13" s="233">
        <v>179.17</v>
      </c>
      <c r="P13" s="100">
        <f t="shared" si="2"/>
        <v>-1.2293274531422371E-2</v>
      </c>
      <c r="Q13" s="232">
        <f t="shared" si="3"/>
        <v>-2.2300000000000182</v>
      </c>
    </row>
    <row r="14" spans="2:17" x14ac:dyDescent="0.25">
      <c r="B14" s="99" t="s">
        <v>65</v>
      </c>
      <c r="C14" s="232">
        <v>31.55</v>
      </c>
      <c r="D14" s="232">
        <v>34.18</v>
      </c>
      <c r="E14" s="232">
        <v>49.88</v>
      </c>
      <c r="F14" s="232">
        <v>53.68</v>
      </c>
      <c r="G14" s="232">
        <v>55.19</v>
      </c>
      <c r="H14" s="232">
        <v>61.52</v>
      </c>
      <c r="I14" s="100">
        <f t="shared" si="0"/>
        <v>0.11469469106722241</v>
      </c>
      <c r="J14" s="232">
        <f t="shared" si="1"/>
        <v>6.3300000000000054</v>
      </c>
      <c r="K14" s="233">
        <v>51.12</v>
      </c>
      <c r="L14" s="233">
        <v>64.39</v>
      </c>
      <c r="M14" s="233">
        <v>68.13</v>
      </c>
      <c r="N14" s="233">
        <v>65.459999999999994</v>
      </c>
      <c r="O14" s="233">
        <v>73.790000000000006</v>
      </c>
      <c r="P14" s="100">
        <f t="shared" si="2"/>
        <v>0.12725328444851836</v>
      </c>
      <c r="Q14" s="232">
        <f t="shared" si="3"/>
        <v>8.3300000000000125</v>
      </c>
    </row>
    <row r="15" spans="2:17" x14ac:dyDescent="0.25">
      <c r="B15" s="96" t="s">
        <v>66</v>
      </c>
      <c r="C15" s="230">
        <v>40.36</v>
      </c>
      <c r="D15" s="230">
        <v>37.26</v>
      </c>
      <c r="E15" s="230">
        <v>63.55</v>
      </c>
      <c r="F15" s="230">
        <v>67.89</v>
      </c>
      <c r="G15" s="230">
        <v>72.16</v>
      </c>
      <c r="H15" s="230">
        <v>79.77</v>
      </c>
      <c r="I15" s="98">
        <f t="shared" si="0"/>
        <v>0.10546008869179602</v>
      </c>
      <c r="J15" s="230">
        <f t="shared" si="1"/>
        <v>7.6099999999999994</v>
      </c>
      <c r="K15" s="231">
        <v>55.34</v>
      </c>
      <c r="L15" s="231">
        <v>79.14</v>
      </c>
      <c r="M15" s="231">
        <v>90.27</v>
      </c>
      <c r="N15" s="231">
        <v>95.07</v>
      </c>
      <c r="O15" s="231">
        <v>105.55</v>
      </c>
      <c r="P15" s="98">
        <f t="shared" si="2"/>
        <v>0.1102345640054696</v>
      </c>
      <c r="Q15" s="230">
        <f t="shared" si="3"/>
        <v>10.480000000000004</v>
      </c>
    </row>
    <row r="16" spans="2:17" x14ac:dyDescent="0.25">
      <c r="B16" s="93" t="s">
        <v>48</v>
      </c>
      <c r="C16" s="234">
        <v>44.55</v>
      </c>
      <c r="D16" s="234">
        <v>43.14</v>
      </c>
      <c r="E16" s="234">
        <v>71.36</v>
      </c>
      <c r="F16" s="234">
        <v>83.79</v>
      </c>
      <c r="G16" s="234">
        <v>97.15</v>
      </c>
      <c r="H16" s="234">
        <v>103.05</v>
      </c>
      <c r="I16" s="102">
        <f t="shared" si="0"/>
        <v>6.0730828615542798E-2</v>
      </c>
      <c r="J16" s="234">
        <f t="shared" si="1"/>
        <v>5.8999999999999915</v>
      </c>
      <c r="K16" s="235">
        <v>64.5</v>
      </c>
      <c r="L16" s="235">
        <v>83.2</v>
      </c>
      <c r="M16" s="235">
        <v>99.84</v>
      </c>
      <c r="N16" s="235">
        <v>109.82</v>
      </c>
      <c r="O16" s="235">
        <v>114.16</v>
      </c>
      <c r="P16" s="102">
        <f t="shared" si="2"/>
        <v>3.9519213258058628E-2</v>
      </c>
      <c r="Q16" s="234">
        <f t="shared" si="3"/>
        <v>4.3400000000000034</v>
      </c>
    </row>
    <row r="17" spans="2:17" x14ac:dyDescent="0.25">
      <c r="B17" s="96" t="s">
        <v>63</v>
      </c>
      <c r="C17" s="230">
        <v>52.7</v>
      </c>
      <c r="D17" s="230">
        <v>55.02</v>
      </c>
      <c r="E17" s="230">
        <v>81.069999999999993</v>
      </c>
      <c r="F17" s="230">
        <v>97.44</v>
      </c>
      <c r="G17" s="230">
        <v>109.1</v>
      </c>
      <c r="H17" s="230">
        <v>113.45</v>
      </c>
      <c r="I17" s="98">
        <f t="shared" si="0"/>
        <v>3.9871677360220126E-2</v>
      </c>
      <c r="J17" s="230">
        <f t="shared" si="1"/>
        <v>4.3500000000000085</v>
      </c>
      <c r="K17" s="231">
        <v>72.489999999999995</v>
      </c>
      <c r="L17" s="231">
        <v>98.17</v>
      </c>
      <c r="M17" s="231">
        <v>117.35</v>
      </c>
      <c r="N17" s="231">
        <v>121.29</v>
      </c>
      <c r="O17" s="231">
        <v>126.76</v>
      </c>
      <c r="P17" s="98">
        <f t="shared" si="2"/>
        <v>4.5098524198202705E-2</v>
      </c>
      <c r="Q17" s="230">
        <f t="shared" si="3"/>
        <v>5.4699999999999989</v>
      </c>
    </row>
    <row r="18" spans="2:17" x14ac:dyDescent="0.25">
      <c r="B18" s="99" t="s">
        <v>64</v>
      </c>
      <c r="C18" s="232">
        <v>60.22</v>
      </c>
      <c r="D18" s="232">
        <v>64.260000000000005</v>
      </c>
      <c r="E18" s="232">
        <v>90.5</v>
      </c>
      <c r="F18" s="232">
        <v>104.46</v>
      </c>
      <c r="G18" s="232">
        <v>119.27</v>
      </c>
      <c r="H18" s="232">
        <v>120.08</v>
      </c>
      <c r="I18" s="100">
        <f t="shared" si="0"/>
        <v>6.7913138257735817E-3</v>
      </c>
      <c r="J18" s="232">
        <f t="shared" si="1"/>
        <v>0.81000000000000227</v>
      </c>
      <c r="K18" s="233">
        <v>80.569999999999993</v>
      </c>
      <c r="L18" s="233">
        <v>109.65</v>
      </c>
      <c r="M18" s="233">
        <v>126.01</v>
      </c>
      <c r="N18" s="233">
        <v>131.32</v>
      </c>
      <c r="O18" s="233">
        <v>132.09</v>
      </c>
      <c r="P18" s="100">
        <f t="shared" si="2"/>
        <v>5.8635394456290069E-3</v>
      </c>
      <c r="Q18" s="232">
        <f t="shared" si="3"/>
        <v>0.77000000000001023</v>
      </c>
    </row>
    <row r="19" spans="2:17" x14ac:dyDescent="0.25">
      <c r="B19" s="99" t="s">
        <v>65</v>
      </c>
      <c r="C19" s="232">
        <v>32.700000000000003</v>
      </c>
      <c r="D19" s="232">
        <v>28.09</v>
      </c>
      <c r="E19" s="232">
        <v>51.65</v>
      </c>
      <c r="F19" s="232">
        <v>73.22</v>
      </c>
      <c r="G19" s="232">
        <v>75.819999999999993</v>
      </c>
      <c r="H19" s="232">
        <v>87.03</v>
      </c>
      <c r="I19" s="100">
        <f t="shared" si="0"/>
        <v>0.14785017145871815</v>
      </c>
      <c r="J19" s="232">
        <f t="shared" si="1"/>
        <v>11.210000000000008</v>
      </c>
      <c r="K19" s="233">
        <v>46.04</v>
      </c>
      <c r="L19" s="233">
        <v>62.7</v>
      </c>
      <c r="M19" s="233">
        <v>85.95</v>
      </c>
      <c r="N19" s="233">
        <v>87.23</v>
      </c>
      <c r="O19" s="233">
        <v>104.9</v>
      </c>
      <c r="P19" s="100">
        <f t="shared" si="2"/>
        <v>0.20256792387939937</v>
      </c>
      <c r="Q19" s="232">
        <f t="shared" si="3"/>
        <v>17.670000000000002</v>
      </c>
    </row>
    <row r="20" spans="2:17" x14ac:dyDescent="0.25">
      <c r="B20" s="96" t="s">
        <v>66</v>
      </c>
      <c r="C20" s="230">
        <v>34.54</v>
      </c>
      <c r="D20" s="230">
        <v>30.84</v>
      </c>
      <c r="E20" s="230">
        <v>56.92</v>
      </c>
      <c r="F20" s="230">
        <v>62.32</v>
      </c>
      <c r="G20" s="230">
        <v>77.14</v>
      </c>
      <c r="H20" s="230">
        <v>85.43</v>
      </c>
      <c r="I20" s="98">
        <f t="shared" si="0"/>
        <v>0.1074669432201194</v>
      </c>
      <c r="J20" s="230">
        <f t="shared" si="1"/>
        <v>8.2900000000000063</v>
      </c>
      <c r="K20" s="231">
        <v>52.48</v>
      </c>
      <c r="L20" s="231">
        <v>70.42</v>
      </c>
      <c r="M20" s="231">
        <v>73.44</v>
      </c>
      <c r="N20" s="231">
        <v>89.81</v>
      </c>
      <c r="O20" s="231">
        <v>93.04</v>
      </c>
      <c r="P20" s="98">
        <f t="shared" si="2"/>
        <v>3.5964814608618223E-2</v>
      </c>
      <c r="Q20" s="230">
        <f t="shared" si="3"/>
        <v>3.230000000000004</v>
      </c>
    </row>
    <row r="21" spans="2:17" x14ac:dyDescent="0.25">
      <c r="B21" s="93" t="s">
        <v>49</v>
      </c>
      <c r="C21" s="234">
        <v>38.090000000000003</v>
      </c>
      <c r="D21" s="234">
        <v>36.92</v>
      </c>
      <c r="E21" s="234">
        <v>53.91</v>
      </c>
      <c r="F21" s="234">
        <v>54.7</v>
      </c>
      <c r="G21" s="234">
        <v>63.16</v>
      </c>
      <c r="H21" s="234">
        <v>68.97</v>
      </c>
      <c r="I21" s="102">
        <f t="shared" si="0"/>
        <v>9.1988600379987462E-2</v>
      </c>
      <c r="J21" s="234">
        <f t="shared" si="1"/>
        <v>5.8100000000000023</v>
      </c>
      <c r="K21" s="235">
        <v>63.6</v>
      </c>
      <c r="L21" s="235">
        <v>83.93</v>
      </c>
      <c r="M21" s="235">
        <v>69.98</v>
      </c>
      <c r="N21" s="235">
        <v>84.35</v>
      </c>
      <c r="O21" s="235">
        <v>93.34</v>
      </c>
      <c r="P21" s="102">
        <f t="shared" si="2"/>
        <v>0.10657972732661536</v>
      </c>
      <c r="Q21" s="234">
        <f t="shared" si="3"/>
        <v>8.9900000000000091</v>
      </c>
    </row>
    <row r="22" spans="2:17" x14ac:dyDescent="0.25">
      <c r="B22" s="96" t="s">
        <v>63</v>
      </c>
      <c r="C22" s="230">
        <v>35.92</v>
      </c>
      <c r="D22" s="230">
        <v>36.92</v>
      </c>
      <c r="E22" s="230">
        <v>53.99</v>
      </c>
      <c r="F22" s="230">
        <v>54.07</v>
      </c>
      <c r="G22" s="230">
        <v>63.29</v>
      </c>
      <c r="H22" s="230">
        <v>69.45</v>
      </c>
      <c r="I22" s="98">
        <f t="shared" si="0"/>
        <v>9.7329751935534947E-2</v>
      </c>
      <c r="J22" s="230">
        <f t="shared" si="1"/>
        <v>6.1600000000000037</v>
      </c>
      <c r="K22" s="231">
        <v>63.6</v>
      </c>
      <c r="L22" s="231">
        <v>85.44</v>
      </c>
      <c r="M22" s="231">
        <v>70.05</v>
      </c>
      <c r="N22" s="231">
        <v>84.67</v>
      </c>
      <c r="O22" s="231">
        <v>94.27</v>
      </c>
      <c r="P22" s="98">
        <f t="shared" si="2"/>
        <v>0.11338136293846701</v>
      </c>
      <c r="Q22" s="230">
        <f t="shared" si="3"/>
        <v>9.5999999999999943</v>
      </c>
    </row>
    <row r="23" spans="2:17" x14ac:dyDescent="0.25">
      <c r="B23" s="96" t="s">
        <v>66</v>
      </c>
      <c r="C23" s="230">
        <v>0</v>
      </c>
      <c r="D23" s="230">
        <v>0</v>
      </c>
      <c r="E23" s="230">
        <v>0</v>
      </c>
      <c r="F23" s="230">
        <v>0</v>
      </c>
      <c r="G23" s="230">
        <v>0</v>
      </c>
      <c r="H23" s="230">
        <v>0</v>
      </c>
      <c r="I23" s="98" t="str">
        <f t="shared" si="0"/>
        <v>-</v>
      </c>
      <c r="J23" s="230">
        <f t="shared" si="1"/>
        <v>0</v>
      </c>
      <c r="K23" s="231">
        <v>0</v>
      </c>
      <c r="L23" s="231">
        <v>0</v>
      </c>
      <c r="M23" s="231">
        <v>0</v>
      </c>
      <c r="N23" s="231">
        <v>0</v>
      </c>
      <c r="O23" s="231">
        <v>0</v>
      </c>
      <c r="P23" s="98" t="str">
        <f t="shared" si="2"/>
        <v>-</v>
      </c>
      <c r="Q23" s="230">
        <f t="shared" si="3"/>
        <v>0</v>
      </c>
    </row>
    <row r="24" spans="2:17" x14ac:dyDescent="0.25">
      <c r="B24" s="93" t="s">
        <v>50</v>
      </c>
      <c r="C24" s="234">
        <v>52.22</v>
      </c>
      <c r="D24" s="234">
        <v>46.13</v>
      </c>
      <c r="E24" s="234">
        <v>95.17</v>
      </c>
      <c r="F24" s="234">
        <v>117.35</v>
      </c>
      <c r="G24" s="234">
        <v>126.66</v>
      </c>
      <c r="H24" s="234">
        <v>163.08000000000001</v>
      </c>
      <c r="I24" s="102">
        <f t="shared" si="0"/>
        <v>0.2875414495499764</v>
      </c>
      <c r="J24" s="234">
        <f t="shared" si="1"/>
        <v>36.420000000000016</v>
      </c>
      <c r="K24" s="235">
        <v>49.85</v>
      </c>
      <c r="L24" s="235">
        <v>97.79</v>
      </c>
      <c r="M24" s="235">
        <v>162.47</v>
      </c>
      <c r="N24" s="235">
        <v>183.26</v>
      </c>
      <c r="O24" s="235">
        <v>220.15</v>
      </c>
      <c r="P24" s="102">
        <f t="shared" si="2"/>
        <v>0.20129870129870131</v>
      </c>
      <c r="Q24" s="234">
        <f t="shared" si="3"/>
        <v>36.890000000000015</v>
      </c>
    </row>
    <row r="25" spans="2:17" x14ac:dyDescent="0.25">
      <c r="B25" s="96" t="s">
        <v>12</v>
      </c>
      <c r="C25" s="230">
        <v>55.84</v>
      </c>
      <c r="D25" s="230">
        <v>48.11</v>
      </c>
      <c r="E25" s="230">
        <v>95.49</v>
      </c>
      <c r="F25" s="230">
        <v>120.23</v>
      </c>
      <c r="G25" s="230">
        <v>126.93</v>
      </c>
      <c r="H25" s="230">
        <v>168.8</v>
      </c>
      <c r="I25" s="98">
        <f t="shared" si="0"/>
        <v>0.32986685574726238</v>
      </c>
      <c r="J25" s="230">
        <f t="shared" si="1"/>
        <v>41.870000000000005</v>
      </c>
      <c r="K25" s="231">
        <v>49.85</v>
      </c>
      <c r="L25" s="231">
        <v>88.63</v>
      </c>
      <c r="M25" s="231">
        <v>162.1</v>
      </c>
      <c r="N25" s="231">
        <v>189.35</v>
      </c>
      <c r="O25" s="231">
        <v>227.96</v>
      </c>
      <c r="P25" s="98">
        <f t="shared" si="2"/>
        <v>0.20390810668074999</v>
      </c>
      <c r="Q25" s="230">
        <f t="shared" si="3"/>
        <v>38.610000000000014</v>
      </c>
    </row>
    <row r="26" spans="2:17" x14ac:dyDescent="0.25">
      <c r="B26" s="99" t="s">
        <v>64</v>
      </c>
      <c r="C26" s="232">
        <v>0</v>
      </c>
      <c r="D26" s="232">
        <v>0</v>
      </c>
      <c r="E26" s="232">
        <v>0</v>
      </c>
      <c r="F26" s="232">
        <v>0</v>
      </c>
      <c r="G26" s="232">
        <v>0</v>
      </c>
      <c r="H26" s="232">
        <v>0</v>
      </c>
      <c r="I26" s="100" t="str">
        <f t="shared" si="0"/>
        <v>-</v>
      </c>
      <c r="J26" s="232">
        <f t="shared" si="1"/>
        <v>0</v>
      </c>
      <c r="K26" s="233">
        <v>0</v>
      </c>
      <c r="L26" s="233">
        <v>0</v>
      </c>
      <c r="M26" s="233">
        <v>0</v>
      </c>
      <c r="N26" s="233">
        <v>0</v>
      </c>
      <c r="O26" s="233">
        <v>0</v>
      </c>
      <c r="P26" s="100" t="str">
        <f t="shared" si="2"/>
        <v>-</v>
      </c>
      <c r="Q26" s="232">
        <f t="shared" si="3"/>
        <v>0</v>
      </c>
    </row>
    <row r="27" spans="2:17" x14ac:dyDescent="0.25">
      <c r="B27" s="99" t="s">
        <v>65</v>
      </c>
      <c r="C27" s="232">
        <v>0</v>
      </c>
      <c r="D27" s="232">
        <v>0</v>
      </c>
      <c r="E27" s="232">
        <v>0</v>
      </c>
      <c r="F27" s="232">
        <v>0</v>
      </c>
      <c r="G27" s="232">
        <v>0</v>
      </c>
      <c r="H27" s="232">
        <v>0</v>
      </c>
      <c r="I27" s="100" t="str">
        <f t="shared" si="0"/>
        <v>-</v>
      </c>
      <c r="J27" s="232">
        <f t="shared" si="1"/>
        <v>0</v>
      </c>
      <c r="K27" s="233">
        <v>0</v>
      </c>
      <c r="L27" s="233">
        <v>0</v>
      </c>
      <c r="M27" s="233">
        <v>0</v>
      </c>
      <c r="N27" s="233">
        <v>0</v>
      </c>
      <c r="O27" s="233">
        <v>0</v>
      </c>
      <c r="P27" s="100" t="str">
        <f t="shared" si="2"/>
        <v>-</v>
      </c>
      <c r="Q27" s="232">
        <f t="shared" si="3"/>
        <v>0</v>
      </c>
    </row>
    <row r="28" spans="2:17" x14ac:dyDescent="0.25">
      <c r="B28" s="93" t="s">
        <v>51</v>
      </c>
      <c r="C28" s="234">
        <v>28.76</v>
      </c>
      <c r="D28" s="234">
        <v>28.24</v>
      </c>
      <c r="E28" s="234">
        <v>42.13</v>
      </c>
      <c r="F28" s="234">
        <v>52.07</v>
      </c>
      <c r="G28" s="234">
        <v>61.37</v>
      </c>
      <c r="H28" s="234">
        <v>67.099999999999994</v>
      </c>
      <c r="I28" s="102">
        <f t="shared" si="0"/>
        <v>9.3368095160501818E-2</v>
      </c>
      <c r="J28" s="234">
        <f t="shared" si="1"/>
        <v>5.7299999999999969</v>
      </c>
      <c r="K28" s="235">
        <v>37.56</v>
      </c>
      <c r="L28" s="235">
        <v>55.24</v>
      </c>
      <c r="M28" s="235">
        <v>60.51</v>
      </c>
      <c r="N28" s="235">
        <v>70.42</v>
      </c>
      <c r="O28" s="235">
        <v>76.03</v>
      </c>
      <c r="P28" s="102">
        <f t="shared" si="2"/>
        <v>7.9664867935245631E-2</v>
      </c>
      <c r="Q28" s="234">
        <f t="shared" si="3"/>
        <v>5.6099999999999994</v>
      </c>
    </row>
    <row r="29" spans="2:17" x14ac:dyDescent="0.25">
      <c r="B29" s="96" t="s">
        <v>63</v>
      </c>
      <c r="C29" s="230">
        <v>30.7</v>
      </c>
      <c r="D29" s="230">
        <v>30.01</v>
      </c>
      <c r="E29" s="230">
        <v>44.97</v>
      </c>
      <c r="F29" s="230">
        <v>56.03</v>
      </c>
      <c r="G29" s="230">
        <v>65.56</v>
      </c>
      <c r="H29" s="230">
        <v>71.599999999999994</v>
      </c>
      <c r="I29" s="98">
        <f t="shared" si="0"/>
        <v>9.2129347162904107E-2</v>
      </c>
      <c r="J29" s="230">
        <f t="shared" si="1"/>
        <v>6.039999999999992</v>
      </c>
      <c r="K29" s="231">
        <v>38.22</v>
      </c>
      <c r="L29" s="231">
        <v>60.47</v>
      </c>
      <c r="M29" s="231">
        <v>63.3</v>
      </c>
      <c r="N29" s="231">
        <v>74.22</v>
      </c>
      <c r="O29" s="231">
        <v>80.849999999999994</v>
      </c>
      <c r="P29" s="98">
        <f t="shared" si="2"/>
        <v>8.9329021827000643E-2</v>
      </c>
      <c r="Q29" s="230">
        <f t="shared" si="3"/>
        <v>6.6299999999999955</v>
      </c>
    </row>
    <row r="30" spans="2:17" x14ac:dyDescent="0.25">
      <c r="B30" s="99" t="s">
        <v>64</v>
      </c>
      <c r="C30" s="232">
        <v>32.35</v>
      </c>
      <c r="D30" s="232">
        <v>31.51</v>
      </c>
      <c r="E30" s="232">
        <v>47.15</v>
      </c>
      <c r="F30" s="232">
        <v>58.72</v>
      </c>
      <c r="G30" s="232">
        <v>68.16</v>
      </c>
      <c r="H30" s="232">
        <v>75.09</v>
      </c>
      <c r="I30" s="100">
        <f t="shared" si="0"/>
        <v>0.10167253521126773</v>
      </c>
      <c r="J30" s="232">
        <f t="shared" si="1"/>
        <v>6.9300000000000068</v>
      </c>
      <c r="K30" s="233">
        <v>39.17</v>
      </c>
      <c r="L30" s="233">
        <v>62.88</v>
      </c>
      <c r="M30" s="233">
        <v>65.5</v>
      </c>
      <c r="N30" s="233">
        <v>76.650000000000006</v>
      </c>
      <c r="O30" s="233">
        <v>85.04</v>
      </c>
      <c r="P30" s="100">
        <f t="shared" si="2"/>
        <v>0.10945857795172853</v>
      </c>
      <c r="Q30" s="232">
        <f t="shared" si="3"/>
        <v>8.39</v>
      </c>
    </row>
    <row r="31" spans="2:17" x14ac:dyDescent="0.25">
      <c r="B31" s="99" t="s">
        <v>65</v>
      </c>
      <c r="C31" s="232">
        <v>22.76</v>
      </c>
      <c r="D31" s="232">
        <v>23.58</v>
      </c>
      <c r="E31" s="232">
        <v>31.76</v>
      </c>
      <c r="F31" s="232">
        <v>38.83</v>
      </c>
      <c r="G31" s="232">
        <v>48.3</v>
      </c>
      <c r="H31" s="232">
        <v>48.98</v>
      </c>
      <c r="I31" s="100">
        <f t="shared" si="0"/>
        <v>1.4078674948240222E-2</v>
      </c>
      <c r="J31" s="232">
        <f t="shared" si="1"/>
        <v>0.67999999999999972</v>
      </c>
      <c r="K31" s="233">
        <v>33.659999999999997</v>
      </c>
      <c r="L31" s="233">
        <v>43.65</v>
      </c>
      <c r="M31" s="233">
        <v>49.21</v>
      </c>
      <c r="N31" s="233">
        <v>58.34</v>
      </c>
      <c r="O31" s="233">
        <v>53.93</v>
      </c>
      <c r="P31" s="100">
        <f t="shared" si="2"/>
        <v>-7.5591360987315781E-2</v>
      </c>
      <c r="Q31" s="232">
        <f t="shared" si="3"/>
        <v>-4.4100000000000037</v>
      </c>
    </row>
    <row r="32" spans="2:17" x14ac:dyDescent="0.25">
      <c r="B32" s="96" t="s">
        <v>66</v>
      </c>
      <c r="C32" s="230">
        <v>23.06</v>
      </c>
      <c r="D32" s="230">
        <v>22.18</v>
      </c>
      <c r="E32" s="230">
        <v>31.66</v>
      </c>
      <c r="F32" s="230">
        <v>36.21</v>
      </c>
      <c r="G32" s="230">
        <v>43.58</v>
      </c>
      <c r="H32" s="230">
        <v>48.3</v>
      </c>
      <c r="I32" s="98">
        <f t="shared" si="0"/>
        <v>0.10830656264341432</v>
      </c>
      <c r="J32" s="230">
        <f t="shared" si="1"/>
        <v>4.7199999999999989</v>
      </c>
      <c r="K32" s="231">
        <v>34.840000000000003</v>
      </c>
      <c r="L32" s="231">
        <v>44.72</v>
      </c>
      <c r="M32" s="231">
        <v>49.07</v>
      </c>
      <c r="N32" s="231">
        <v>54.62</v>
      </c>
      <c r="O32" s="231">
        <v>55.75</v>
      </c>
      <c r="P32" s="98">
        <f t="shared" si="2"/>
        <v>2.0688392530208821E-2</v>
      </c>
      <c r="Q32" s="230">
        <f t="shared" si="3"/>
        <v>1.1300000000000026</v>
      </c>
    </row>
    <row r="33" spans="2:17" x14ac:dyDescent="0.25">
      <c r="B33" s="93" t="s">
        <v>52</v>
      </c>
      <c r="C33" s="234">
        <v>49.1</v>
      </c>
      <c r="D33" s="234">
        <v>45.63</v>
      </c>
      <c r="E33" s="234">
        <v>64.64</v>
      </c>
      <c r="F33" s="234">
        <v>73.62</v>
      </c>
      <c r="G33" s="234">
        <v>81.849999999999994</v>
      </c>
      <c r="H33" s="234">
        <v>88.52</v>
      </c>
      <c r="I33" s="102">
        <f t="shared" si="0"/>
        <v>8.1490531459987858E-2</v>
      </c>
      <c r="J33" s="234">
        <f t="shared" si="1"/>
        <v>6.6700000000000017</v>
      </c>
      <c r="K33" s="235">
        <v>66.599999999999994</v>
      </c>
      <c r="L33" s="235">
        <v>72.19</v>
      </c>
      <c r="M33" s="235">
        <v>84.63</v>
      </c>
      <c r="N33" s="235">
        <v>99.7</v>
      </c>
      <c r="O33" s="235">
        <v>100.76</v>
      </c>
      <c r="P33" s="102">
        <f t="shared" si="2"/>
        <v>1.0631895687061244E-2</v>
      </c>
      <c r="Q33" s="234">
        <f t="shared" si="3"/>
        <v>1.0600000000000023</v>
      </c>
    </row>
    <row r="34" spans="2:17" x14ac:dyDescent="0.25">
      <c r="B34" s="96" t="s">
        <v>63</v>
      </c>
      <c r="C34" s="230">
        <v>49.1</v>
      </c>
      <c r="D34" s="230">
        <v>45.63</v>
      </c>
      <c r="E34" s="230">
        <v>64.64</v>
      </c>
      <c r="F34" s="230">
        <v>71.349999999999994</v>
      </c>
      <c r="G34" s="230">
        <v>81.849999999999994</v>
      </c>
      <c r="H34" s="230">
        <v>88.52</v>
      </c>
      <c r="I34" s="98">
        <f t="shared" si="0"/>
        <v>8.1490531459987858E-2</v>
      </c>
      <c r="J34" s="230">
        <f t="shared" si="1"/>
        <v>6.6700000000000017</v>
      </c>
      <c r="K34" s="231">
        <v>66.599999999999994</v>
      </c>
      <c r="L34" s="231">
        <v>72.19</v>
      </c>
      <c r="M34" s="231">
        <v>84.63</v>
      </c>
      <c r="N34" s="231">
        <v>99.7</v>
      </c>
      <c r="O34" s="231">
        <v>100.76</v>
      </c>
      <c r="P34" s="98">
        <f t="shared" si="2"/>
        <v>1.0631895687061244E-2</v>
      </c>
      <c r="Q34" s="230">
        <f t="shared" si="3"/>
        <v>1.0600000000000023</v>
      </c>
    </row>
    <row r="35" spans="2:17" x14ac:dyDescent="0.25">
      <c r="B35" s="93" t="s">
        <v>53</v>
      </c>
      <c r="C35" s="234">
        <v>64.31</v>
      </c>
      <c r="D35" s="234">
        <v>82.55</v>
      </c>
      <c r="E35" s="234">
        <v>97.03</v>
      </c>
      <c r="F35" s="234">
        <v>122.12</v>
      </c>
      <c r="G35" s="234">
        <v>143.97</v>
      </c>
      <c r="H35" s="234">
        <v>163.12</v>
      </c>
      <c r="I35" s="102">
        <f t="shared" si="0"/>
        <v>0.13301382232409531</v>
      </c>
      <c r="J35" s="234">
        <f t="shared" si="1"/>
        <v>19.150000000000006</v>
      </c>
      <c r="K35" s="235">
        <v>91.56</v>
      </c>
      <c r="L35" s="235">
        <v>116.6</v>
      </c>
      <c r="M35" s="235">
        <v>135.97999999999999</v>
      </c>
      <c r="N35" s="235">
        <v>170.57</v>
      </c>
      <c r="O35" s="235">
        <v>204.75</v>
      </c>
      <c r="P35" s="102">
        <f t="shared" si="2"/>
        <v>0.20038693791405282</v>
      </c>
      <c r="Q35" s="234">
        <f t="shared" si="3"/>
        <v>34.180000000000007</v>
      </c>
    </row>
    <row r="36" spans="2:17" x14ac:dyDescent="0.25">
      <c r="B36" s="96" t="s">
        <v>63</v>
      </c>
      <c r="C36" s="230">
        <v>75.77</v>
      </c>
      <c r="D36" s="230">
        <v>86.58</v>
      </c>
      <c r="E36" s="230">
        <v>103.27</v>
      </c>
      <c r="F36" s="230">
        <v>127.35</v>
      </c>
      <c r="G36" s="230">
        <v>152.83000000000001</v>
      </c>
      <c r="H36" s="230">
        <v>172.79</v>
      </c>
      <c r="I36" s="98">
        <f t="shared" si="0"/>
        <v>0.13060263037361763</v>
      </c>
      <c r="J36" s="230">
        <f t="shared" si="1"/>
        <v>19.95999999999998</v>
      </c>
      <c r="K36" s="231">
        <v>95.61</v>
      </c>
      <c r="L36" s="231">
        <v>119.27</v>
      </c>
      <c r="M36" s="231">
        <v>138.74</v>
      </c>
      <c r="N36" s="231">
        <v>179.95</v>
      </c>
      <c r="O36" s="231">
        <v>214.24</v>
      </c>
      <c r="P36" s="98">
        <f t="shared" si="2"/>
        <v>0.1905529313698251</v>
      </c>
      <c r="Q36" s="230">
        <f t="shared" si="3"/>
        <v>34.29000000000002</v>
      </c>
    </row>
    <row r="37" spans="2:17" x14ac:dyDescent="0.25">
      <c r="B37" s="96" t="s">
        <v>66</v>
      </c>
      <c r="C37" s="230">
        <v>30.29</v>
      </c>
      <c r="D37" s="230">
        <v>48.86</v>
      </c>
      <c r="E37" s="230">
        <v>66.17</v>
      </c>
      <c r="F37" s="230">
        <v>90.45</v>
      </c>
      <c r="G37" s="230">
        <v>93.94</v>
      </c>
      <c r="H37" s="230">
        <v>110.2</v>
      </c>
      <c r="I37" s="98">
        <f t="shared" si="0"/>
        <v>0.17308920587609111</v>
      </c>
      <c r="J37" s="230">
        <f t="shared" si="1"/>
        <v>16.260000000000005</v>
      </c>
      <c r="K37" s="231">
        <v>71.17</v>
      </c>
      <c r="L37" s="231">
        <v>109.01</v>
      </c>
      <c r="M37" s="231">
        <v>120.35</v>
      </c>
      <c r="N37" s="231">
        <v>117.63</v>
      </c>
      <c r="O37" s="231">
        <v>154.43</v>
      </c>
      <c r="P37" s="98">
        <f t="shared" si="2"/>
        <v>0.31284536257757378</v>
      </c>
      <c r="Q37" s="230">
        <f t="shared" si="3"/>
        <v>36.800000000000011</v>
      </c>
    </row>
    <row r="38" spans="2:17" x14ac:dyDescent="0.25">
      <c r="B38" s="93" t="s">
        <v>54</v>
      </c>
      <c r="C38" s="234">
        <v>33.54</v>
      </c>
      <c r="D38" s="234">
        <v>37.840000000000003</v>
      </c>
      <c r="E38" s="234">
        <v>53.16</v>
      </c>
      <c r="F38" s="234">
        <v>62.01</v>
      </c>
      <c r="G38" s="234">
        <v>69.75</v>
      </c>
      <c r="H38" s="234">
        <v>76.260000000000005</v>
      </c>
      <c r="I38" s="102">
        <f t="shared" si="0"/>
        <v>9.333333333333349E-2</v>
      </c>
      <c r="J38" s="234">
        <f t="shared" si="1"/>
        <v>6.5100000000000051</v>
      </c>
      <c r="K38" s="235">
        <v>57.28</v>
      </c>
      <c r="L38" s="235">
        <v>60.77</v>
      </c>
      <c r="M38" s="235">
        <v>72.12</v>
      </c>
      <c r="N38" s="235">
        <v>89.01</v>
      </c>
      <c r="O38" s="235">
        <v>85.67</v>
      </c>
      <c r="P38" s="102">
        <f t="shared" si="2"/>
        <v>-3.7523873722053791E-2</v>
      </c>
      <c r="Q38" s="234">
        <f t="shared" si="3"/>
        <v>-3.3400000000000034</v>
      </c>
    </row>
    <row r="39" spans="2:17" x14ac:dyDescent="0.25">
      <c r="B39" s="96" t="s">
        <v>63</v>
      </c>
      <c r="C39" s="230">
        <v>33.54</v>
      </c>
      <c r="D39" s="230">
        <v>37.840000000000003</v>
      </c>
      <c r="E39" s="230">
        <v>53.16</v>
      </c>
      <c r="F39" s="230">
        <v>61.03</v>
      </c>
      <c r="G39" s="230">
        <v>69.75</v>
      </c>
      <c r="H39" s="230">
        <v>76.260000000000005</v>
      </c>
      <c r="I39" s="98">
        <f t="shared" si="0"/>
        <v>9.333333333333349E-2</v>
      </c>
      <c r="J39" s="230">
        <f t="shared" si="1"/>
        <v>6.5100000000000051</v>
      </c>
      <c r="K39" s="231">
        <v>57.28</v>
      </c>
      <c r="L39" s="231">
        <v>60.77</v>
      </c>
      <c r="M39" s="231">
        <v>72.12</v>
      </c>
      <c r="N39" s="231">
        <v>89.01</v>
      </c>
      <c r="O39" s="231">
        <v>85.67</v>
      </c>
      <c r="P39" s="98">
        <f t="shared" si="2"/>
        <v>-3.7523873722053791E-2</v>
      </c>
      <c r="Q39" s="230">
        <f t="shared" si="3"/>
        <v>-3.3400000000000034</v>
      </c>
    </row>
    <row r="40" spans="2:17" x14ac:dyDescent="0.25">
      <c r="B40" s="99" t="s">
        <v>64</v>
      </c>
      <c r="C40" s="232">
        <v>39.090000000000003</v>
      </c>
      <c r="D40" s="232">
        <v>40.1</v>
      </c>
      <c r="E40" s="232">
        <v>62.85</v>
      </c>
      <c r="F40" s="232">
        <v>72.180000000000007</v>
      </c>
      <c r="G40" s="232">
        <v>84.16</v>
      </c>
      <c r="H40" s="232">
        <v>89.79</v>
      </c>
      <c r="I40" s="100">
        <f t="shared" si="0"/>
        <v>6.68963878326998E-2</v>
      </c>
      <c r="J40" s="232">
        <f t="shared" si="1"/>
        <v>5.6300000000000097</v>
      </c>
      <c r="K40" s="233">
        <v>61.85</v>
      </c>
      <c r="L40" s="233">
        <v>74.760000000000005</v>
      </c>
      <c r="M40" s="233">
        <v>89.15</v>
      </c>
      <c r="N40" s="233">
        <v>105.86</v>
      </c>
      <c r="O40" s="233">
        <v>99.44</v>
      </c>
      <c r="P40" s="100">
        <f t="shared" si="2"/>
        <v>-6.0646136406574791E-2</v>
      </c>
      <c r="Q40" s="232">
        <f t="shared" si="3"/>
        <v>-6.4200000000000017</v>
      </c>
    </row>
    <row r="41" spans="2:17" x14ac:dyDescent="0.25">
      <c r="B41" s="99" t="s">
        <v>65</v>
      </c>
      <c r="C41" s="232">
        <v>27.82</v>
      </c>
      <c r="D41" s="232">
        <v>34.1</v>
      </c>
      <c r="E41" s="232">
        <v>40.229999999999997</v>
      </c>
      <c r="F41" s="232">
        <v>46.85</v>
      </c>
      <c r="G41" s="232">
        <v>49.34</v>
      </c>
      <c r="H41" s="232">
        <v>51.98</v>
      </c>
      <c r="I41" s="100">
        <f t="shared" si="0"/>
        <v>5.3506282934738358E-2</v>
      </c>
      <c r="J41" s="232">
        <f t="shared" si="1"/>
        <v>2.6399999999999935</v>
      </c>
      <c r="K41" s="233">
        <v>49.68</v>
      </c>
      <c r="L41" s="233">
        <v>44.23</v>
      </c>
      <c r="M41" s="233">
        <v>50.17</v>
      </c>
      <c r="N41" s="233">
        <v>58.32</v>
      </c>
      <c r="O41" s="233">
        <v>60.57</v>
      </c>
      <c r="P41" s="100">
        <f t="shared" si="2"/>
        <v>3.8580246913580307E-2</v>
      </c>
      <c r="Q41" s="232">
        <f t="shared" si="3"/>
        <v>2.25</v>
      </c>
    </row>
    <row r="42" spans="2:17" x14ac:dyDescent="0.25">
      <c r="B42" s="93" t="s">
        <v>55</v>
      </c>
      <c r="C42" s="234">
        <v>50.94</v>
      </c>
      <c r="D42" s="234">
        <v>53.72</v>
      </c>
      <c r="E42" s="234">
        <v>88.56</v>
      </c>
      <c r="F42" s="234">
        <v>109.01</v>
      </c>
      <c r="G42" s="234">
        <v>119.74</v>
      </c>
      <c r="H42" s="234">
        <v>101.6</v>
      </c>
      <c r="I42" s="102">
        <f t="shared" si="0"/>
        <v>-0.15149490562886259</v>
      </c>
      <c r="J42" s="234">
        <f t="shared" si="1"/>
        <v>-18.14</v>
      </c>
      <c r="K42" s="235">
        <v>74.12</v>
      </c>
      <c r="L42" s="235">
        <v>101.76</v>
      </c>
      <c r="M42" s="235">
        <v>117.93</v>
      </c>
      <c r="N42" s="235">
        <v>102.08</v>
      </c>
      <c r="O42" s="235">
        <v>107.23</v>
      </c>
      <c r="P42" s="102">
        <f t="shared" si="2"/>
        <v>5.0450626959247735E-2</v>
      </c>
      <c r="Q42" s="234">
        <f t="shared" si="3"/>
        <v>5.1500000000000057</v>
      </c>
    </row>
    <row r="43" spans="2:17" x14ac:dyDescent="0.25">
      <c r="B43" s="96" t="s">
        <v>63</v>
      </c>
      <c r="C43" s="230">
        <v>56.41</v>
      </c>
      <c r="D43" s="230">
        <v>62.75</v>
      </c>
      <c r="E43" s="230">
        <v>96.52</v>
      </c>
      <c r="F43" s="230">
        <v>120.21</v>
      </c>
      <c r="G43" s="230">
        <v>129.44</v>
      </c>
      <c r="H43" s="230">
        <v>106.42</v>
      </c>
      <c r="I43" s="98">
        <f t="shared" si="0"/>
        <v>-0.17784301606922126</v>
      </c>
      <c r="J43" s="230">
        <f t="shared" si="1"/>
        <v>-23.019999999999996</v>
      </c>
      <c r="K43" s="231">
        <v>77.290000000000006</v>
      </c>
      <c r="L43" s="231">
        <v>113.79</v>
      </c>
      <c r="M43" s="231">
        <v>125.76</v>
      </c>
      <c r="N43" s="231">
        <v>104.98</v>
      </c>
      <c r="O43" s="231">
        <v>109.37</v>
      </c>
      <c r="P43" s="98">
        <f t="shared" si="2"/>
        <v>4.1817489045532508E-2</v>
      </c>
      <c r="Q43" s="230">
        <f t="shared" si="3"/>
        <v>4.3900000000000006</v>
      </c>
    </row>
    <row r="44" spans="2:17" x14ac:dyDescent="0.25">
      <c r="B44" s="99" t="s">
        <v>64</v>
      </c>
      <c r="C44" s="232">
        <v>0</v>
      </c>
      <c r="D44" s="232">
        <v>65.540000000000006</v>
      </c>
      <c r="E44" s="232">
        <v>100.75</v>
      </c>
      <c r="F44" s="232">
        <v>127.89</v>
      </c>
      <c r="G44" s="232">
        <v>135.86000000000001</v>
      </c>
      <c r="H44" s="232">
        <v>108.32</v>
      </c>
      <c r="I44" s="100">
        <f t="shared" si="0"/>
        <v>-0.20270867069041676</v>
      </c>
      <c r="J44" s="232">
        <f t="shared" si="1"/>
        <v>-27.54000000000002</v>
      </c>
      <c r="K44" s="233">
        <v>79.52</v>
      </c>
      <c r="L44" s="233">
        <v>118.46</v>
      </c>
      <c r="M44" s="233">
        <v>133.01</v>
      </c>
      <c r="N44" s="233">
        <v>108.32</v>
      </c>
      <c r="O44" s="233">
        <v>113.1</v>
      </c>
      <c r="P44" s="100">
        <f t="shared" si="2"/>
        <v>4.412850812407676E-2</v>
      </c>
      <c r="Q44" s="232">
        <f t="shared" si="3"/>
        <v>4.7800000000000011</v>
      </c>
    </row>
    <row r="45" spans="2:17" x14ac:dyDescent="0.25">
      <c r="B45" s="99" t="s">
        <v>65</v>
      </c>
      <c r="C45" s="232">
        <v>0</v>
      </c>
      <c r="D45" s="232">
        <v>51.57</v>
      </c>
      <c r="E45" s="232">
        <v>79.3</v>
      </c>
      <c r="F45" s="232">
        <v>89.45</v>
      </c>
      <c r="G45" s="232">
        <v>103.35</v>
      </c>
      <c r="H45" s="232">
        <v>98.71</v>
      </c>
      <c r="I45" s="100">
        <f t="shared" si="0"/>
        <v>-4.4895984518626086E-2</v>
      </c>
      <c r="J45" s="232">
        <f t="shared" si="1"/>
        <v>-4.6400000000000006</v>
      </c>
      <c r="K45" s="233">
        <v>68.209999999999994</v>
      </c>
      <c r="L45" s="233">
        <v>94.78</v>
      </c>
      <c r="M45" s="233">
        <v>96.31</v>
      </c>
      <c r="N45" s="233">
        <v>91.42</v>
      </c>
      <c r="O45" s="233">
        <v>94.22</v>
      </c>
      <c r="P45" s="100">
        <f t="shared" si="2"/>
        <v>3.0627871362940207E-2</v>
      </c>
      <c r="Q45" s="232">
        <f t="shared" si="3"/>
        <v>2.7999999999999972</v>
      </c>
    </row>
    <row r="46" spans="2:17" x14ac:dyDescent="0.25">
      <c r="B46" s="96" t="s">
        <v>66</v>
      </c>
      <c r="C46" s="230">
        <v>31.82</v>
      </c>
      <c r="D46" s="230">
        <v>24.11</v>
      </c>
      <c r="E46" s="230">
        <v>50.32</v>
      </c>
      <c r="F46" s="230">
        <v>55.12</v>
      </c>
      <c r="G46" s="230">
        <v>69.489999999999995</v>
      </c>
      <c r="H46" s="230">
        <v>77.48</v>
      </c>
      <c r="I46" s="98">
        <f t="shared" si="0"/>
        <v>0.11498057274427986</v>
      </c>
      <c r="J46" s="230">
        <f t="shared" si="1"/>
        <v>7.9900000000000091</v>
      </c>
      <c r="K46" s="231">
        <v>57.64</v>
      </c>
      <c r="L46" s="231">
        <v>70.41</v>
      </c>
      <c r="M46" s="231">
        <v>77.11</v>
      </c>
      <c r="N46" s="231">
        <v>87.62</v>
      </c>
      <c r="O46" s="231">
        <v>96.52</v>
      </c>
      <c r="P46" s="98">
        <f t="shared" si="2"/>
        <v>0.10157498288062072</v>
      </c>
      <c r="Q46" s="230">
        <f t="shared" si="3"/>
        <v>8.8999999999999915</v>
      </c>
    </row>
    <row r="47" spans="2:17" x14ac:dyDescent="0.25">
      <c r="B47" s="93" t="s">
        <v>56</v>
      </c>
      <c r="C47" s="234">
        <v>22.7</v>
      </c>
      <c r="D47" s="234">
        <v>29.35</v>
      </c>
      <c r="E47" s="234">
        <v>43.22</v>
      </c>
      <c r="F47" s="234">
        <v>54</v>
      </c>
      <c r="G47" s="234">
        <v>56.56</v>
      </c>
      <c r="H47" s="234">
        <v>58.49</v>
      </c>
      <c r="I47" s="102">
        <f t="shared" si="0"/>
        <v>3.4123055162659011E-2</v>
      </c>
      <c r="J47" s="234">
        <f t="shared" si="1"/>
        <v>1.9299999999999997</v>
      </c>
      <c r="K47" s="235">
        <v>46.59</v>
      </c>
      <c r="L47" s="235">
        <v>58.05</v>
      </c>
      <c r="M47" s="235">
        <v>65</v>
      </c>
      <c r="N47" s="235">
        <v>67.73</v>
      </c>
      <c r="O47" s="235">
        <v>79.86</v>
      </c>
      <c r="P47" s="102">
        <f t="shared" si="2"/>
        <v>0.17909345932378562</v>
      </c>
      <c r="Q47" s="234">
        <f t="shared" si="3"/>
        <v>12.129999999999995</v>
      </c>
    </row>
    <row r="48" spans="2:17" x14ac:dyDescent="0.25">
      <c r="B48" s="96" t="s">
        <v>63</v>
      </c>
      <c r="C48" s="230">
        <v>22.26</v>
      </c>
      <c r="D48" s="230">
        <v>29.29</v>
      </c>
      <c r="E48" s="230">
        <v>43.74</v>
      </c>
      <c r="F48" s="230">
        <v>53.7</v>
      </c>
      <c r="G48" s="230">
        <v>58.12</v>
      </c>
      <c r="H48" s="230">
        <v>60.3</v>
      </c>
      <c r="I48" s="98">
        <f t="shared" si="0"/>
        <v>3.7508602890571119E-2</v>
      </c>
      <c r="J48" s="230">
        <f t="shared" si="1"/>
        <v>2.1799999999999997</v>
      </c>
      <c r="K48" s="231">
        <v>46.9</v>
      </c>
      <c r="L48" s="231">
        <v>59.87</v>
      </c>
      <c r="M48" s="231">
        <v>65.59</v>
      </c>
      <c r="N48" s="231">
        <v>68.599999999999994</v>
      </c>
      <c r="O48" s="231">
        <v>83.27</v>
      </c>
      <c r="P48" s="98">
        <f t="shared" si="2"/>
        <v>0.2138483965014577</v>
      </c>
      <c r="Q48" s="230">
        <f t="shared" si="3"/>
        <v>14.670000000000002</v>
      </c>
    </row>
    <row r="49" spans="2:17" x14ac:dyDescent="0.25">
      <c r="B49" s="99" t="s">
        <v>64</v>
      </c>
      <c r="C49" s="232">
        <v>22.57</v>
      </c>
      <c r="D49" s="232">
        <v>31.13</v>
      </c>
      <c r="E49" s="232">
        <v>47.77</v>
      </c>
      <c r="F49" s="232">
        <v>58.76</v>
      </c>
      <c r="G49" s="232">
        <v>61.8</v>
      </c>
      <c r="H49" s="232">
        <v>64.489999999999995</v>
      </c>
      <c r="I49" s="100">
        <f t="shared" si="0"/>
        <v>4.3527508090614786E-2</v>
      </c>
      <c r="J49" s="232">
        <f t="shared" si="1"/>
        <v>2.6899999999999977</v>
      </c>
      <c r="K49" s="233">
        <v>49.94</v>
      </c>
      <c r="L49" s="233">
        <v>65.760000000000005</v>
      </c>
      <c r="M49" s="233">
        <v>68.67</v>
      </c>
      <c r="N49" s="233">
        <v>72.63</v>
      </c>
      <c r="O49" s="233">
        <v>92.67</v>
      </c>
      <c r="P49" s="100">
        <f t="shared" si="2"/>
        <v>0.2759190417182984</v>
      </c>
      <c r="Q49" s="232">
        <f t="shared" si="3"/>
        <v>20.040000000000006</v>
      </c>
    </row>
    <row r="50" spans="2:17" x14ac:dyDescent="0.25">
      <c r="B50" s="99" t="s">
        <v>65</v>
      </c>
      <c r="C50" s="232">
        <v>21.23</v>
      </c>
      <c r="D50" s="232">
        <v>23.12</v>
      </c>
      <c r="E50" s="232">
        <v>33.61</v>
      </c>
      <c r="F50" s="232">
        <v>39.25</v>
      </c>
      <c r="G50" s="232">
        <v>48.36</v>
      </c>
      <c r="H50" s="232">
        <v>49.31</v>
      </c>
      <c r="I50" s="100">
        <f t="shared" si="0"/>
        <v>1.9644334160463295E-2</v>
      </c>
      <c r="J50" s="232">
        <f t="shared" si="1"/>
        <v>0.95000000000000284</v>
      </c>
      <c r="K50" s="233">
        <v>37.65</v>
      </c>
      <c r="L50" s="233">
        <v>46.37</v>
      </c>
      <c r="M50" s="233">
        <v>57.17</v>
      </c>
      <c r="N50" s="233">
        <v>58.17</v>
      </c>
      <c r="O50" s="233">
        <v>58.89</v>
      </c>
      <c r="P50" s="100">
        <f t="shared" si="2"/>
        <v>1.2377514182568383E-2</v>
      </c>
      <c r="Q50" s="232">
        <f t="shared" si="3"/>
        <v>0.71999999999999886</v>
      </c>
    </row>
    <row r="51" spans="2:17" x14ac:dyDescent="0.25">
      <c r="B51" s="96" t="s">
        <v>66</v>
      </c>
      <c r="C51" s="230">
        <v>16.5</v>
      </c>
      <c r="D51" s="230">
        <v>23.32</v>
      </c>
      <c r="E51" s="230">
        <v>75.78</v>
      </c>
      <c r="F51" s="230">
        <v>82.76</v>
      </c>
      <c r="G51" s="230">
        <v>71.290000000000006</v>
      </c>
      <c r="H51" s="230">
        <v>74.64</v>
      </c>
      <c r="I51" s="98">
        <f t="shared" si="0"/>
        <v>4.6991162855940516E-2</v>
      </c>
      <c r="J51" s="230">
        <f t="shared" si="1"/>
        <v>3.3499999999999943</v>
      </c>
      <c r="K51" s="231">
        <v>38.04</v>
      </c>
      <c r="L51" s="231">
        <v>119.11</v>
      </c>
      <c r="M51" s="231">
        <v>117.43</v>
      </c>
      <c r="N51" s="231">
        <v>91.94</v>
      </c>
      <c r="O51" s="231">
        <v>85.67</v>
      </c>
      <c r="P51" s="98">
        <f t="shared" si="2"/>
        <v>-6.8196649989123337E-2</v>
      </c>
      <c r="Q51" s="230">
        <f t="shared" si="3"/>
        <v>-6.269999999999996</v>
      </c>
    </row>
    <row r="52" spans="2:17" ht="6.95" customHeight="1" x14ac:dyDescent="0.25">
      <c r="B52" s="103"/>
      <c r="C52" s="104"/>
      <c r="D52" s="104"/>
      <c r="E52" s="104"/>
      <c r="F52" s="104"/>
      <c r="G52" s="105"/>
      <c r="H52" s="104"/>
      <c r="I52" s="106"/>
      <c r="J52" s="104"/>
      <c r="K52" s="104"/>
      <c r="L52" s="104"/>
      <c r="M52" s="104"/>
      <c r="N52" s="104"/>
      <c r="O52" s="106"/>
      <c r="P52" s="106"/>
      <c r="Q52" s="106"/>
    </row>
    <row r="53" spans="2:17" ht="15" customHeight="1" x14ac:dyDescent="0.25">
      <c r="B53" s="107" t="s">
        <v>58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FF98B-65EB-4F73-81FB-B0AB928C1652}">
  <sheetPr>
    <tabColor rgb="FF336600"/>
  </sheetPr>
  <dimension ref="B3:B25"/>
  <sheetViews>
    <sheetView showGridLines="0" workbookViewId="0">
      <selection activeCell="H9" sqref="H9"/>
    </sheetView>
  </sheetViews>
  <sheetFormatPr baseColWidth="10" defaultRowHeight="15" x14ac:dyDescent="0.25"/>
  <sheetData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CFAE8-3A37-41ED-81F4-F80EEB782028}">
  <sheetPr>
    <tabColor theme="4"/>
  </sheetPr>
  <dimension ref="B4:B25"/>
  <sheetViews>
    <sheetView showGridLines="0" workbookViewId="0">
      <selection activeCell="H9" sqref="H9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50914-D133-408E-9FFF-EED66094B36A}">
  <sheetPr>
    <tabColor theme="4" tint="0.39997558519241921"/>
  </sheetPr>
  <dimension ref="A1:AE131"/>
  <sheetViews>
    <sheetView showGridLines="0" zoomScaleNormal="100" workbookViewId="0">
      <selection activeCell="H9" sqref="H9"/>
    </sheetView>
  </sheetViews>
  <sheetFormatPr baseColWidth="10" defaultRowHeight="15" x14ac:dyDescent="0.25"/>
  <cols>
    <col min="1" max="1" width="17.7109375" customWidth="1"/>
    <col min="2" max="2" width="28.7109375" customWidth="1"/>
    <col min="3" max="4" width="14.28515625" customWidth="1"/>
    <col min="5" max="12" width="14.7109375" customWidth="1"/>
    <col min="13" max="13" width="11.42578125" customWidth="1"/>
    <col min="14" max="14" width="14.7109375" customWidth="1"/>
    <col min="20" max="20" width="12.42578125" customWidth="1"/>
    <col min="27" max="27" width="14" customWidth="1"/>
    <col min="31" max="31" width="11.42578125" style="1"/>
  </cols>
  <sheetData>
    <row r="1" spans="1:31" ht="30" customHeight="1" x14ac:dyDescent="0.25">
      <c r="B1" s="1" t="s">
        <v>320</v>
      </c>
      <c r="C1" s="1"/>
      <c r="D1" s="1"/>
      <c r="F1" s="236"/>
      <c r="G1" s="236"/>
      <c r="H1" s="236"/>
      <c r="J1" s="236"/>
    </row>
    <row r="3" spans="1:31" s="4" customFormat="1" ht="25.5" customHeight="1" thickBot="1" x14ac:dyDescent="0.3">
      <c r="B3" s="64" t="s">
        <v>321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174" t="s">
        <v>267</v>
      </c>
      <c r="D5" s="174" t="s">
        <v>268</v>
      </c>
      <c r="E5" s="174" t="s">
        <v>269</v>
      </c>
      <c r="F5" s="174" t="s">
        <v>270</v>
      </c>
      <c r="G5" s="175" t="str">
        <f>CONCATENATE("var. ",RIGHT(F5,2),"/",RIGHT(E5,2))</f>
        <v>var. 23/22</v>
      </c>
      <c r="H5" s="175" t="str">
        <f>CONCATENATE("dif. ",RIGHT(F5,2),"/",RIGHT(E5,2))</f>
        <v>dif. 23/22</v>
      </c>
      <c r="I5" s="175" t="str">
        <f>CONCATENATE("%/s total España ",RIGHT(F5,4))</f>
        <v>%/s total España 2023</v>
      </c>
      <c r="J5" s="174" t="s">
        <v>271</v>
      </c>
      <c r="K5" s="175" t="str">
        <f>CONCATENATE("var. ",RIGHT(J5,2),"/",RIGHT(F5,2))</f>
        <v>var. 24/23</v>
      </c>
      <c r="L5" s="175" t="str">
        <f>CONCATENATE("dif. ",RIGHT(J5,2),"/",RIGHT(F5,2))</f>
        <v>dif. 24/23</v>
      </c>
      <c r="M5" s="175" t="str">
        <f>CONCATENATE("%/s total España ",RIGHT(J5,4))</f>
        <v>%/s total España 2024</v>
      </c>
      <c r="N5" s="174" t="s">
        <v>272</v>
      </c>
      <c r="O5" s="175" t="str">
        <f>CONCATENATE("var. ",RIGHT(N5,2),"/",RIGHT(J5,2))</f>
        <v>var. 25/24</v>
      </c>
      <c r="P5" s="175" t="str">
        <f>CONCATENATE("dif. ",RIGHT(N5,2),"/",RIGHT(J5,2))</f>
        <v>dif. 25/24</v>
      </c>
      <c r="Q5" s="175" t="str">
        <f>CONCATENATE("var. ",RIGHT(N5,2),"/",RIGHT(C5,2))</f>
        <v>var. 25/20</v>
      </c>
      <c r="R5" s="175" t="str">
        <f>CONCATENATE("dif. ",RIGHT(N5,2),"/",RIGHT(C5,2))</f>
        <v>dif. 25/20</v>
      </c>
      <c r="S5" s="175" t="str">
        <f>CONCATENATE("%/s total España ",RIGHT(N5,4))</f>
        <v>%/s total España 2025</v>
      </c>
      <c r="T5" s="175" t="str">
        <f>CONCATENATE("%/s total Turistas ",RIGHT(N5,4))</f>
        <v>%/s total Turistas 2025</v>
      </c>
      <c r="AE5" s="1"/>
    </row>
    <row r="6" spans="1:31" s="4" customFormat="1" ht="18.75" x14ac:dyDescent="0.3">
      <c r="B6" s="237" t="s">
        <v>179</v>
      </c>
      <c r="C6" s="238">
        <v>353830</v>
      </c>
      <c r="D6" s="238">
        <v>492258</v>
      </c>
      <c r="E6" s="238">
        <v>1243535</v>
      </c>
      <c r="F6" s="238">
        <v>1320376</v>
      </c>
      <c r="G6" s="239">
        <f t="shared" ref="G6:G11" si="0">F6/E6-1</f>
        <v>6.1792390242333406E-2</v>
      </c>
      <c r="H6" s="238">
        <f t="shared" ref="H6:H11" si="1">F6-E6</f>
        <v>76841</v>
      </c>
      <c r="I6" s="239"/>
      <c r="J6" s="238">
        <v>1387795</v>
      </c>
      <c r="K6" s="239">
        <f t="shared" ref="K6:K11" si="2">J6/F6-1</f>
        <v>5.10604555066132E-2</v>
      </c>
      <c r="L6" s="238">
        <f t="shared" ref="L6:L11" si="3">J6-F6</f>
        <v>67419</v>
      </c>
      <c r="M6" s="239"/>
      <c r="N6" s="238">
        <v>1421549</v>
      </c>
      <c r="O6" s="239">
        <f t="shared" ref="O6:O11" si="4">N6/J6-1</f>
        <v>2.4322036035581585E-2</v>
      </c>
      <c r="P6" s="238">
        <f t="shared" ref="P6:P11" si="5">N6-J6</f>
        <v>33754</v>
      </c>
      <c r="Q6" s="239">
        <f>N6/C6-1</f>
        <v>3.0176044993358389</v>
      </c>
      <c r="R6" s="238">
        <f>N6-C6</f>
        <v>1067719</v>
      </c>
      <c r="S6" s="239"/>
      <c r="T6" s="239"/>
      <c r="V6" s="29"/>
      <c r="AE6" s="1"/>
    </row>
    <row r="7" spans="1:31" ht="18.75" x14ac:dyDescent="0.3">
      <c r="A7" s="4"/>
      <c r="B7" s="237" t="s">
        <v>180</v>
      </c>
      <c r="C7" s="238">
        <v>46908</v>
      </c>
      <c r="D7" s="238">
        <v>83468</v>
      </c>
      <c r="E7" s="238">
        <v>123951</v>
      </c>
      <c r="F7" s="238">
        <v>119487</v>
      </c>
      <c r="G7" s="239">
        <f t="shared" si="0"/>
        <v>-3.6014231430161914E-2</v>
      </c>
      <c r="H7" s="238">
        <f t="shared" si="1"/>
        <v>-4464</v>
      </c>
      <c r="I7" s="239">
        <f>F7/$F$7</f>
        <v>1</v>
      </c>
      <c r="J7" s="238">
        <v>114632</v>
      </c>
      <c r="K7" s="239">
        <f t="shared" si="2"/>
        <v>-4.063203528417314E-2</v>
      </c>
      <c r="L7" s="238">
        <f t="shared" si="3"/>
        <v>-4855</v>
      </c>
      <c r="M7" s="239">
        <f>J7/$J$7</f>
        <v>1</v>
      </c>
      <c r="N7" s="238">
        <v>118257</v>
      </c>
      <c r="O7" s="239">
        <f t="shared" si="4"/>
        <v>3.1622932514481228E-2</v>
      </c>
      <c r="P7" s="238">
        <f t="shared" si="5"/>
        <v>3625</v>
      </c>
      <c r="Q7" s="239">
        <f t="shared" ref="Q7:Q11" si="6">N7/C7-1</f>
        <v>1.5210411870043488</v>
      </c>
      <c r="R7" s="238">
        <f t="shared" ref="R7:R11" si="7">N7-C7</f>
        <v>71349</v>
      </c>
      <c r="S7" s="239">
        <f>N7/$N$7</f>
        <v>1</v>
      </c>
      <c r="T7" s="239">
        <f>N7/$N$6</f>
        <v>8.3188831338209229E-2</v>
      </c>
      <c r="V7" s="29"/>
      <c r="W7" s="81"/>
      <c r="AE7" s="1" t="s">
        <v>181</v>
      </c>
    </row>
    <row r="8" spans="1:31" ht="15.75" x14ac:dyDescent="0.25">
      <c r="A8" s="4"/>
      <c r="B8" s="240" t="s">
        <v>103</v>
      </c>
      <c r="C8" s="241">
        <v>23619</v>
      </c>
      <c r="D8" s="241">
        <v>39986</v>
      </c>
      <c r="E8" s="241">
        <v>75857</v>
      </c>
      <c r="F8" s="241">
        <v>66877</v>
      </c>
      <c r="G8" s="242">
        <f t="shared" si="0"/>
        <v>-0.11838063725167092</v>
      </c>
      <c r="H8" s="241">
        <f t="shared" si="1"/>
        <v>-8980</v>
      </c>
      <c r="I8" s="242">
        <f>F8/$F$7</f>
        <v>0.55970105534493297</v>
      </c>
      <c r="J8" s="241">
        <v>64410</v>
      </c>
      <c r="K8" s="242">
        <f t="shared" si="2"/>
        <v>-3.6888616415210018E-2</v>
      </c>
      <c r="L8" s="241">
        <f t="shared" si="3"/>
        <v>-2467</v>
      </c>
      <c r="M8" s="242">
        <f>J8/$J$7</f>
        <v>0.56188498848489077</v>
      </c>
      <c r="N8" s="241">
        <v>66849</v>
      </c>
      <c r="O8" s="242">
        <f t="shared" si="4"/>
        <v>3.7866790870982658E-2</v>
      </c>
      <c r="P8" s="241">
        <f t="shared" si="5"/>
        <v>2439</v>
      </c>
      <c r="Q8" s="242">
        <f t="shared" si="6"/>
        <v>1.8303061094881241</v>
      </c>
      <c r="R8" s="241">
        <f t="shared" si="7"/>
        <v>43230</v>
      </c>
      <c r="S8" s="242">
        <f>N8/$N$7</f>
        <v>0.56528577589487305</v>
      </c>
      <c r="T8" s="242">
        <f>N8/$N$6</f>
        <v>4.7025463068807338E-2</v>
      </c>
      <c r="V8" s="29"/>
      <c r="W8" s="81"/>
      <c r="AE8" s="1" t="s">
        <v>182</v>
      </c>
    </row>
    <row r="9" spans="1:31" s="4" customFormat="1" x14ac:dyDescent="0.25">
      <c r="B9" s="243" t="s">
        <v>106</v>
      </c>
      <c r="C9" s="244">
        <v>23289</v>
      </c>
      <c r="D9" s="244">
        <v>43482</v>
      </c>
      <c r="E9" s="244">
        <v>48094</v>
      </c>
      <c r="F9" s="244">
        <v>52610</v>
      </c>
      <c r="G9" s="245">
        <f t="shared" si="0"/>
        <v>9.3899446916455354E-2</v>
      </c>
      <c r="H9" s="246">
        <f t="shared" si="1"/>
        <v>4516</v>
      </c>
      <c r="I9" s="247">
        <f>F9/$F$7</f>
        <v>0.44029894465506708</v>
      </c>
      <c r="J9" s="244">
        <v>50222</v>
      </c>
      <c r="K9" s="245">
        <f t="shared" si="2"/>
        <v>-4.5390610150161548E-2</v>
      </c>
      <c r="L9" s="246">
        <f t="shared" si="3"/>
        <v>-2388</v>
      </c>
      <c r="M9" s="247">
        <f>J9/$J$7</f>
        <v>0.43811501151510923</v>
      </c>
      <c r="N9" s="244">
        <v>51408</v>
      </c>
      <c r="O9" s="245">
        <f t="shared" si="4"/>
        <v>2.3615148739596137E-2</v>
      </c>
      <c r="P9" s="246">
        <f t="shared" si="5"/>
        <v>1186</v>
      </c>
      <c r="Q9" s="245">
        <f t="shared" si="6"/>
        <v>1.2073940486925157</v>
      </c>
      <c r="R9" s="246">
        <f t="shared" si="7"/>
        <v>28119</v>
      </c>
      <c r="S9" s="247">
        <f>N9/$N$7</f>
        <v>0.43471422410512695</v>
      </c>
      <c r="T9" s="247">
        <f>N9/$N$6</f>
        <v>3.6163368269401898E-2</v>
      </c>
      <c r="V9" s="29"/>
      <c r="W9" s="81"/>
      <c r="AE9" s="1" t="s">
        <v>183</v>
      </c>
    </row>
    <row r="10" spans="1:31" s="4" customFormat="1" x14ac:dyDescent="0.25">
      <c r="B10" s="248" t="s">
        <v>184</v>
      </c>
      <c r="C10" s="29">
        <v>20088</v>
      </c>
      <c r="D10" s="29">
        <v>38551</v>
      </c>
      <c r="E10" s="29">
        <v>38088</v>
      </c>
      <c r="F10" s="29">
        <v>39274</v>
      </c>
      <c r="G10" s="22">
        <f t="shared" si="0"/>
        <v>3.113841629909686E-2</v>
      </c>
      <c r="H10" s="20">
        <f t="shared" si="1"/>
        <v>1186</v>
      </c>
      <c r="I10" s="31">
        <f>F10/$F$7</f>
        <v>0.32868847657067296</v>
      </c>
      <c r="J10" s="29">
        <v>34697</v>
      </c>
      <c r="K10" s="22">
        <f t="shared" si="2"/>
        <v>-0.1165402047155879</v>
      </c>
      <c r="L10" s="20">
        <f t="shared" si="3"/>
        <v>-4577</v>
      </c>
      <c r="M10" s="31">
        <f>J10/$J$7</f>
        <v>0.30268162467722798</v>
      </c>
      <c r="N10" s="29">
        <v>30960</v>
      </c>
      <c r="O10" s="22">
        <f t="shared" si="4"/>
        <v>-0.10770383606651868</v>
      </c>
      <c r="P10" s="20">
        <f t="shared" si="5"/>
        <v>-3737</v>
      </c>
      <c r="Q10" s="22">
        <f t="shared" si="6"/>
        <v>0.54121863799283143</v>
      </c>
      <c r="R10" s="20">
        <f t="shared" si="7"/>
        <v>10872</v>
      </c>
      <c r="S10" s="31">
        <f>N10/$N$7</f>
        <v>0.26180268398488038</v>
      </c>
      <c r="T10" s="31">
        <f>N10/$N$6</f>
        <v>2.1779059321908708E-2</v>
      </c>
      <c r="V10" s="29"/>
      <c r="W10" s="81"/>
      <c r="AE10" s="1" t="s">
        <v>185</v>
      </c>
    </row>
    <row r="11" spans="1:31" s="4" customFormat="1" x14ac:dyDescent="0.25">
      <c r="B11" s="248" t="s">
        <v>186</v>
      </c>
      <c r="C11" s="29">
        <f>C9-C10</f>
        <v>3201</v>
      </c>
      <c r="D11" s="29">
        <f>D9-D10</f>
        <v>4931</v>
      </c>
      <c r="E11" s="29">
        <f>E9-E10</f>
        <v>10006</v>
      </c>
      <c r="F11" s="29">
        <f>F9-F10</f>
        <v>13336</v>
      </c>
      <c r="G11" s="22">
        <f t="shared" si="0"/>
        <v>0.33280031980811509</v>
      </c>
      <c r="H11" s="20">
        <f t="shared" si="1"/>
        <v>3330</v>
      </c>
      <c r="I11" s="31">
        <f>F11/$F$7</f>
        <v>0.11161046808439412</v>
      </c>
      <c r="J11" s="29">
        <f>J9-J10</f>
        <v>15525</v>
      </c>
      <c r="K11" s="22">
        <f t="shared" si="2"/>
        <v>0.16414217156568678</v>
      </c>
      <c r="L11" s="20">
        <f t="shared" si="3"/>
        <v>2189</v>
      </c>
      <c r="M11" s="31">
        <f>J11/$J$7</f>
        <v>0.13543338683788123</v>
      </c>
      <c r="N11" s="29">
        <f>N9-N10</f>
        <v>20448</v>
      </c>
      <c r="O11" s="22">
        <f t="shared" si="4"/>
        <v>0.31710144927536232</v>
      </c>
      <c r="P11" s="20">
        <f t="shared" si="5"/>
        <v>4923</v>
      </c>
      <c r="Q11" s="22">
        <f t="shared" si="6"/>
        <v>5.3880037488284911</v>
      </c>
      <c r="R11" s="20">
        <f t="shared" si="7"/>
        <v>17247</v>
      </c>
      <c r="S11" s="31">
        <f>N11/$N$7</f>
        <v>0.17291154012024659</v>
      </c>
      <c r="T11" s="31">
        <f>N11/$N$6</f>
        <v>1.4384308947493192E-2</v>
      </c>
      <c r="V11" s="29"/>
      <c r="W11" s="81"/>
      <c r="AE11" s="1" t="s">
        <v>187</v>
      </c>
    </row>
    <row r="12" spans="1:31" s="4" customFormat="1" ht="7.5" customHeight="1" x14ac:dyDescent="0.25"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AE12" s="1" t="s">
        <v>188</v>
      </c>
    </row>
    <row r="13" spans="1:31" s="4" customFormat="1" x14ac:dyDescent="0.25">
      <c r="B13" s="173" t="s">
        <v>189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AE13" s="1" t="s">
        <v>190</v>
      </c>
    </row>
    <row r="14" spans="1:31" s="4" customFormat="1" x14ac:dyDescent="0.25">
      <c r="AE14" s="1"/>
    </row>
    <row r="25" spans="2:2" x14ac:dyDescent="0.25">
      <c r="B25" t="s">
        <v>12</v>
      </c>
    </row>
    <row r="37" spans="2:31" s="4" customFormat="1" ht="15.75" hidden="1" customHeight="1" thickBot="1" x14ac:dyDescent="0.3">
      <c r="B37" s="283" t="s">
        <v>191</v>
      </c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85"/>
      <c r="T37" s="85"/>
      <c r="AE37" s="1"/>
    </row>
    <row r="38" spans="2:31" s="4" customFormat="1" ht="6" hidden="1" customHeight="1" thickBot="1" x14ac:dyDescent="0.3">
      <c r="AE38" s="1"/>
    </row>
    <row r="39" spans="2:31" s="4" customFormat="1" ht="30" hidden="1" x14ac:dyDescent="0.25">
      <c r="E39" s="89"/>
      <c r="F39" s="89"/>
      <c r="G39" s="89"/>
      <c r="H39" s="89"/>
      <c r="I39" s="89"/>
      <c r="J39" s="14">
        <v>2020</v>
      </c>
      <c r="K39" s="14"/>
      <c r="L39" s="14"/>
      <c r="M39" s="14" t="s">
        <v>192</v>
      </c>
      <c r="N39" s="14">
        <v>2021</v>
      </c>
      <c r="O39" s="14" t="s">
        <v>192</v>
      </c>
      <c r="P39" s="14" t="s">
        <v>193</v>
      </c>
      <c r="Q39" s="14" t="s">
        <v>194</v>
      </c>
      <c r="R39" s="14" t="s">
        <v>195</v>
      </c>
      <c r="S39" s="89"/>
      <c r="T39" s="89"/>
      <c r="AE39" s="1"/>
    </row>
    <row r="40" spans="2:31" s="4" customFormat="1" ht="18.75" hidden="1" x14ac:dyDescent="0.3">
      <c r="B40" s="237" t="s">
        <v>179</v>
      </c>
      <c r="C40" s="237"/>
      <c r="D40" s="237"/>
      <c r="E40" s="238"/>
      <c r="F40" s="238"/>
      <c r="G40" s="238"/>
      <c r="H40" s="238"/>
      <c r="I40" s="238"/>
      <c r="J40" s="238">
        <v>1824653</v>
      </c>
      <c r="K40" s="238"/>
      <c r="L40" s="238"/>
      <c r="M40" s="239"/>
      <c r="N40" s="238">
        <v>2354005</v>
      </c>
      <c r="O40" s="239"/>
      <c r="P40" s="239">
        <v>1</v>
      </c>
      <c r="Q40" s="239">
        <v>0.2901110512519367</v>
      </c>
      <c r="R40" s="238">
        <v>529352</v>
      </c>
      <c r="S40" s="250"/>
      <c r="T40" s="250"/>
      <c r="AE40" s="1"/>
    </row>
    <row r="41" spans="2:31" ht="18.75" hidden="1" x14ac:dyDescent="0.3">
      <c r="B41" s="237" t="s">
        <v>180</v>
      </c>
      <c r="C41" s="237"/>
      <c r="D41" s="237"/>
      <c r="E41" s="238"/>
      <c r="F41" s="238"/>
      <c r="G41" s="238"/>
      <c r="H41" s="238"/>
      <c r="I41" s="238"/>
      <c r="J41" s="238">
        <v>603938</v>
      </c>
      <c r="K41" s="238"/>
      <c r="L41" s="238"/>
      <c r="M41" s="239">
        <v>1</v>
      </c>
      <c r="N41" s="238">
        <v>936181</v>
      </c>
      <c r="O41" s="239">
        <v>1</v>
      </c>
      <c r="P41" s="239">
        <v>0.39769711619134201</v>
      </c>
      <c r="Q41" s="239">
        <v>0.55012766211101138</v>
      </c>
      <c r="R41" s="238">
        <v>332243</v>
      </c>
      <c r="S41" s="250"/>
      <c r="T41" s="250"/>
      <c r="AE41" s="1" t="s">
        <v>181</v>
      </c>
    </row>
    <row r="42" spans="2:31" ht="15.75" hidden="1" x14ac:dyDescent="0.25">
      <c r="B42" s="240" t="s">
        <v>103</v>
      </c>
      <c r="C42" s="240"/>
      <c r="D42" s="240"/>
      <c r="E42" s="241"/>
      <c r="F42" s="241"/>
      <c r="G42" s="241"/>
      <c r="H42" s="241"/>
      <c r="I42" s="241"/>
      <c r="J42" s="241">
        <v>276550.36166633503</v>
      </c>
      <c r="K42" s="241"/>
      <c r="L42" s="241"/>
      <c r="M42" s="242">
        <v>0.45791184139155844</v>
      </c>
      <c r="N42" s="241">
        <v>430252.45635520399</v>
      </c>
      <c r="O42" s="242">
        <v>0.4595825554622493</v>
      </c>
      <c r="P42" s="242">
        <v>0.18277465695918402</v>
      </c>
      <c r="Q42" s="242">
        <v>0.55578337978930015</v>
      </c>
      <c r="R42" s="241">
        <v>153702.09468886897</v>
      </c>
      <c r="S42" s="251"/>
      <c r="T42" s="251"/>
      <c r="AE42" s="1" t="s">
        <v>182</v>
      </c>
    </row>
    <row r="43" spans="2:31" s="4" customFormat="1" hidden="1" x14ac:dyDescent="0.25">
      <c r="B43" s="243" t="s">
        <v>106</v>
      </c>
      <c r="C43" s="252"/>
      <c r="D43" s="252"/>
      <c r="E43" s="244"/>
      <c r="F43" s="244"/>
      <c r="G43" s="244"/>
      <c r="H43" s="244"/>
      <c r="I43" s="244"/>
      <c r="J43" s="244">
        <v>327387.63833385095</v>
      </c>
      <c r="K43" s="244"/>
      <c r="L43" s="244"/>
      <c r="M43" s="247">
        <v>0.54208815860874948</v>
      </c>
      <c r="N43" s="244">
        <v>505927.5436448183</v>
      </c>
      <c r="O43" s="247">
        <v>0.54041637636826456</v>
      </c>
      <c r="P43" s="247">
        <v>0.21492203442423372</v>
      </c>
      <c r="Q43" s="245">
        <v>0.54534711884540576</v>
      </c>
      <c r="R43" s="246">
        <v>178539.90531096736</v>
      </c>
      <c r="S43" s="253"/>
      <c r="T43" s="253"/>
      <c r="AE43" s="1" t="s">
        <v>183</v>
      </c>
    </row>
    <row r="44" spans="2:31" s="4" customFormat="1" hidden="1" x14ac:dyDescent="0.25">
      <c r="B44" s="248" t="s">
        <v>184</v>
      </c>
      <c r="C44" s="248"/>
      <c r="D44" s="248"/>
      <c r="E44" s="29"/>
      <c r="F44" s="29"/>
      <c r="G44" s="29"/>
      <c r="H44" s="29"/>
      <c r="I44" s="29"/>
      <c r="J44" s="29">
        <v>242109.12821622068</v>
      </c>
      <c r="K44" s="29"/>
      <c r="L44" s="29"/>
      <c r="M44" s="31">
        <v>0.4008840778626625</v>
      </c>
      <c r="N44" s="29">
        <v>391384.01224089495</v>
      </c>
      <c r="O44" s="31">
        <v>0.41806446855992052</v>
      </c>
      <c r="P44" s="31">
        <v>0.16626303352834634</v>
      </c>
      <c r="Q44" s="22">
        <v>0.61656033014732592</v>
      </c>
      <c r="R44" s="20">
        <v>149274.88402467428</v>
      </c>
      <c r="S44" s="20"/>
      <c r="T44" s="20"/>
      <c r="AE44" s="1" t="s">
        <v>185</v>
      </c>
    </row>
    <row r="45" spans="2:31" s="4" customFormat="1" hidden="1" x14ac:dyDescent="0.25">
      <c r="B45" s="248" t="s">
        <v>186</v>
      </c>
      <c r="C45" s="248"/>
      <c r="D45" s="248"/>
      <c r="E45" s="29"/>
      <c r="F45" s="29"/>
      <c r="G45" s="29"/>
      <c r="H45" s="29"/>
      <c r="I45" s="29"/>
      <c r="J45" s="29">
        <v>85278.510117630256</v>
      </c>
      <c r="K45" s="29"/>
      <c r="L45" s="29"/>
      <c r="M45" s="31">
        <v>0.14120408074608695</v>
      </c>
      <c r="N45" s="29">
        <v>114543.53140392336</v>
      </c>
      <c r="O45" s="31">
        <v>0.12235190780834407</v>
      </c>
      <c r="P45" s="31">
        <v>4.8659000895887379E-2</v>
      </c>
      <c r="Q45" s="22">
        <v>0.34316994100771625</v>
      </c>
      <c r="R45" s="20">
        <v>29265.021286293108</v>
      </c>
      <c r="S45" s="20"/>
      <c r="T45" s="20"/>
      <c r="AE45" s="1" t="s">
        <v>187</v>
      </c>
    </row>
    <row r="46" spans="2:31" s="4" customFormat="1" ht="7.5" hidden="1" customHeight="1" x14ac:dyDescent="0.25"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AE46" s="1" t="s">
        <v>188</v>
      </c>
    </row>
    <row r="47" spans="2:31" s="4" customFormat="1" hidden="1" x14ac:dyDescent="0.25">
      <c r="B47" s="282" t="s">
        <v>189</v>
      </c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  <c r="Q47" s="282"/>
      <c r="R47" s="282"/>
      <c r="S47" s="50"/>
      <c r="T47" s="50"/>
      <c r="AE47" s="1" t="s">
        <v>190</v>
      </c>
    </row>
    <row r="48" spans="2:31" s="4" customFormat="1" hidden="1" x14ac:dyDescent="0.25">
      <c r="AE48" s="1"/>
    </row>
    <row r="49" spans="5:12" hidden="1" x14ac:dyDescent="0.25">
      <c r="E49" s="127"/>
      <c r="F49" s="127"/>
      <c r="G49" s="127"/>
      <c r="H49" s="127"/>
      <c r="I49" s="127"/>
      <c r="J49" s="127">
        <v>0.54208815860874948</v>
      </c>
      <c r="K49" s="127"/>
      <c r="L49" s="127"/>
    </row>
    <row r="50" spans="5:12" hidden="1" x14ac:dyDescent="0.25"/>
    <row r="51" spans="5:12" hidden="1" x14ac:dyDescent="0.25"/>
    <row r="52" spans="5:12" hidden="1" x14ac:dyDescent="0.25"/>
    <row r="53" spans="5:12" hidden="1" x14ac:dyDescent="0.25"/>
    <row r="54" spans="5:12" hidden="1" x14ac:dyDescent="0.25"/>
    <row r="55" spans="5:12" hidden="1" x14ac:dyDescent="0.25"/>
    <row r="56" spans="5:12" hidden="1" x14ac:dyDescent="0.25"/>
    <row r="57" spans="5:12" hidden="1" x14ac:dyDescent="0.25"/>
    <row r="58" spans="5:12" hidden="1" x14ac:dyDescent="0.25"/>
    <row r="59" spans="5:12" hidden="1" x14ac:dyDescent="0.25"/>
    <row r="60" spans="5:12" hidden="1" x14ac:dyDescent="0.25"/>
    <row r="61" spans="5:12" hidden="1" x14ac:dyDescent="0.25"/>
    <row r="62" spans="5:12" hidden="1" x14ac:dyDescent="0.25"/>
    <row r="63" spans="5:12" hidden="1" x14ac:dyDescent="0.25"/>
    <row r="64" spans="5:12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spans="2:31" hidden="1" x14ac:dyDescent="0.25"/>
    <row r="114" spans="2:31" hidden="1" x14ac:dyDescent="0.25"/>
    <row r="115" spans="2:31" hidden="1" x14ac:dyDescent="0.25"/>
    <row r="116" spans="2:31" hidden="1" x14ac:dyDescent="0.25"/>
    <row r="120" spans="2:31" x14ac:dyDescent="0.25">
      <c r="Z120" s="1"/>
      <c r="AE120"/>
    </row>
    <row r="121" spans="2:31" ht="21.75" thickBot="1" x14ac:dyDescent="0.3">
      <c r="B121" s="64" t="s">
        <v>321</v>
      </c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Z121" s="1"/>
      <c r="AE121"/>
    </row>
    <row r="122" spans="2:3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Z122" s="1"/>
      <c r="AE122"/>
    </row>
    <row r="123" spans="2:31" ht="30" x14ac:dyDescent="0.25">
      <c r="B123" s="4"/>
      <c r="C123" s="187">
        <v>2020</v>
      </c>
      <c r="D123" s="187">
        <v>2021</v>
      </c>
      <c r="E123" s="187">
        <v>2022</v>
      </c>
      <c r="F123" s="187">
        <v>2023</v>
      </c>
      <c r="G123" s="175" t="str">
        <f>CONCATENATE("var. ",RIGHT(F123,2),"/",RIGHT(E123,2))</f>
        <v>var. 23/22</v>
      </c>
      <c r="H123" s="175" t="str">
        <f>CONCATENATE("dif. ",RIGHT(F123,2),"/",RIGHT(E123,2))</f>
        <v>dif. 23/22</v>
      </c>
      <c r="I123" s="175" t="str">
        <f>CONCATENATE("%/s total España ",RIGHT(F123,4))</f>
        <v>%/s total España 2023</v>
      </c>
      <c r="J123" s="187">
        <v>2024</v>
      </c>
      <c r="K123" s="175" t="str">
        <f>CONCATENATE("%/s total España ",RIGHT(J123,4))</f>
        <v>%/s total España 2024</v>
      </c>
      <c r="L123" s="175" t="str">
        <f>CONCATENATE("var. ",RIGHT(J123,2),"/",RIGHT(F123,2))</f>
        <v>var. 24/23</v>
      </c>
      <c r="M123" s="175" t="str">
        <f>CONCATENATE("dif. ",RIGHT(J123,2),"/",RIGHT(F123,2))</f>
        <v>dif. 24/23</v>
      </c>
      <c r="N123" s="175" t="str">
        <f>CONCATENATE("var. ",RIGHT(J123,2),"/",RIGHT(D123,2))</f>
        <v>var. 24/21</v>
      </c>
      <c r="O123" s="175" t="str">
        <f>CONCATENATE("dif. ",RIGHT(J123,2),"/",RIGHT(D123,2))</f>
        <v>dif. 24/21</v>
      </c>
      <c r="Z123" s="1"/>
      <c r="AE123"/>
    </row>
    <row r="124" spans="2:31" ht="18.75" x14ac:dyDescent="0.3">
      <c r="B124" s="237" t="s">
        <v>179</v>
      </c>
      <c r="C124" s="238">
        <v>375345</v>
      </c>
      <c r="D124" s="238">
        <v>492258</v>
      </c>
      <c r="E124" s="238">
        <v>1243535</v>
      </c>
      <c r="F124" s="238">
        <v>1320376</v>
      </c>
      <c r="G124" s="239">
        <f t="shared" ref="G124:G129" si="8">F124/E124-1</f>
        <v>6.1792390242333406E-2</v>
      </c>
      <c r="H124" s="238">
        <f t="shared" ref="H124:H129" si="9">F124-E124</f>
        <v>76841</v>
      </c>
      <c r="I124" s="239"/>
      <c r="J124" s="238">
        <v>1387795</v>
      </c>
      <c r="K124" s="239"/>
      <c r="L124" s="239">
        <f t="shared" ref="L124:L129" si="10">J124/F124-1</f>
        <v>5.10604555066132E-2</v>
      </c>
      <c r="M124" s="238">
        <f t="shared" ref="M124:M129" si="11">J124-F124</f>
        <v>67419</v>
      </c>
      <c r="N124" s="239">
        <f t="shared" ref="N124:N129" si="12">J124/D124-1</f>
        <v>1.819243161106574</v>
      </c>
      <c r="O124" s="238">
        <f t="shared" ref="O124:O129" si="13">J124-D124</f>
        <v>895537</v>
      </c>
      <c r="Z124" s="1"/>
      <c r="AE124"/>
    </row>
    <row r="125" spans="2:31" ht="18.75" x14ac:dyDescent="0.3">
      <c r="B125" s="237" t="s">
        <v>180</v>
      </c>
      <c r="C125" s="238">
        <v>51760</v>
      </c>
      <c r="D125" s="238">
        <v>83468</v>
      </c>
      <c r="E125" s="238">
        <v>123951</v>
      </c>
      <c r="F125" s="238">
        <v>119487</v>
      </c>
      <c r="G125" s="239">
        <f t="shared" si="8"/>
        <v>-3.6014231430161914E-2</v>
      </c>
      <c r="H125" s="238">
        <f t="shared" si="9"/>
        <v>-4464</v>
      </c>
      <c r="I125" s="239">
        <f>F125/$F$7</f>
        <v>1</v>
      </c>
      <c r="J125" s="238">
        <v>114632</v>
      </c>
      <c r="K125" s="239">
        <f>J125/$J$125</f>
        <v>1</v>
      </c>
      <c r="L125" s="239">
        <f t="shared" si="10"/>
        <v>-4.063203528417314E-2</v>
      </c>
      <c r="M125" s="238">
        <f t="shared" si="11"/>
        <v>-4855</v>
      </c>
      <c r="N125" s="239">
        <f t="shared" si="12"/>
        <v>0.37336464273733649</v>
      </c>
      <c r="O125" s="238">
        <f t="shared" si="13"/>
        <v>31164</v>
      </c>
      <c r="Z125" s="1"/>
      <c r="AE125"/>
    </row>
    <row r="126" spans="2:31" ht="15.75" x14ac:dyDescent="0.25">
      <c r="B126" s="240" t="s">
        <v>103</v>
      </c>
      <c r="C126" s="241">
        <v>26848</v>
      </c>
      <c r="D126" s="241">
        <v>39986</v>
      </c>
      <c r="E126" s="241">
        <v>75857</v>
      </c>
      <c r="F126" s="241">
        <v>66877</v>
      </c>
      <c r="G126" s="242">
        <f t="shared" si="8"/>
        <v>-0.11838063725167092</v>
      </c>
      <c r="H126" s="241">
        <f t="shared" si="9"/>
        <v>-8980</v>
      </c>
      <c r="I126" s="242">
        <f>F126/$F$7</f>
        <v>0.55970105534493297</v>
      </c>
      <c r="J126" s="241">
        <v>64410</v>
      </c>
      <c r="K126" s="242">
        <f>J126/$J$125</f>
        <v>0.56188498848489077</v>
      </c>
      <c r="L126" s="242">
        <f t="shared" si="10"/>
        <v>-3.6888616415210018E-2</v>
      </c>
      <c r="M126" s="241">
        <f t="shared" si="11"/>
        <v>-2467</v>
      </c>
      <c r="N126" s="242">
        <f t="shared" si="12"/>
        <v>0.61081378482468862</v>
      </c>
      <c r="O126" s="241">
        <f t="shared" si="13"/>
        <v>24424</v>
      </c>
      <c r="Z126" s="1"/>
      <c r="AE126"/>
    </row>
    <row r="127" spans="2:31" x14ac:dyDescent="0.25">
      <c r="B127" s="243" t="s">
        <v>106</v>
      </c>
      <c r="C127" s="244">
        <v>24912</v>
      </c>
      <c r="D127" s="244">
        <v>43482</v>
      </c>
      <c r="E127" s="244">
        <v>48094</v>
      </c>
      <c r="F127" s="244">
        <v>52610</v>
      </c>
      <c r="G127" s="245">
        <f t="shared" si="8"/>
        <v>9.3899446916455354E-2</v>
      </c>
      <c r="H127" s="246">
        <f t="shared" si="9"/>
        <v>4516</v>
      </c>
      <c r="I127" s="247">
        <f>F127/$F$7</f>
        <v>0.44029894465506708</v>
      </c>
      <c r="J127" s="244">
        <v>50222</v>
      </c>
      <c r="K127" s="247">
        <f>J127/$J$125</f>
        <v>0.43811501151510923</v>
      </c>
      <c r="L127" s="245">
        <f t="shared" si="10"/>
        <v>-4.5390610150161548E-2</v>
      </c>
      <c r="M127" s="246">
        <f t="shared" si="11"/>
        <v>-2388</v>
      </c>
      <c r="N127" s="245">
        <f t="shared" si="12"/>
        <v>0.15500666942642938</v>
      </c>
      <c r="O127" s="246">
        <f t="shared" si="13"/>
        <v>6740</v>
      </c>
      <c r="Z127" s="1"/>
      <c r="AE127"/>
    </row>
    <row r="128" spans="2:31" x14ac:dyDescent="0.25">
      <c r="B128" s="248" t="s">
        <v>184</v>
      </c>
      <c r="C128" s="29">
        <v>21584</v>
      </c>
      <c r="D128" s="29">
        <v>38551</v>
      </c>
      <c r="E128" s="29">
        <v>38088</v>
      </c>
      <c r="F128" s="29">
        <v>39274</v>
      </c>
      <c r="G128" s="22">
        <f t="shared" si="8"/>
        <v>3.113841629909686E-2</v>
      </c>
      <c r="H128" s="20">
        <f t="shared" si="9"/>
        <v>1186</v>
      </c>
      <c r="I128" s="31">
        <f>F128/$F$7</f>
        <v>0.32868847657067296</v>
      </c>
      <c r="J128" s="29">
        <v>34697</v>
      </c>
      <c r="K128" s="31">
        <f>J128/$J$125</f>
        <v>0.30268162467722798</v>
      </c>
      <c r="L128" s="22">
        <f t="shared" si="10"/>
        <v>-0.1165402047155879</v>
      </c>
      <c r="M128" s="20">
        <f t="shared" si="11"/>
        <v>-4577</v>
      </c>
      <c r="N128" s="22">
        <f t="shared" si="12"/>
        <v>-9.9971466369225159E-2</v>
      </c>
      <c r="O128" s="20">
        <f t="shared" si="13"/>
        <v>-3854</v>
      </c>
      <c r="Z128" s="1"/>
      <c r="AE128"/>
    </row>
    <row r="129" spans="2:31" x14ac:dyDescent="0.25">
      <c r="B129" s="248" t="s">
        <v>186</v>
      </c>
      <c r="C129" s="29">
        <f>C127-C128</f>
        <v>3328</v>
      </c>
      <c r="D129" s="29">
        <f>D127-D128</f>
        <v>4931</v>
      </c>
      <c r="E129" s="29">
        <f>E127-E128</f>
        <v>10006</v>
      </c>
      <c r="F129" s="29">
        <f>F127-F128</f>
        <v>13336</v>
      </c>
      <c r="G129" s="22">
        <f t="shared" si="8"/>
        <v>0.33280031980811509</v>
      </c>
      <c r="H129" s="20">
        <f t="shared" si="9"/>
        <v>3330</v>
      </c>
      <c r="I129" s="31">
        <f>F129/$F$7</f>
        <v>0.11161046808439412</v>
      </c>
      <c r="J129" s="29">
        <f>J127-J128</f>
        <v>15525</v>
      </c>
      <c r="K129" s="31">
        <f>J129/$J$125</f>
        <v>0.13543338683788123</v>
      </c>
      <c r="L129" s="22">
        <f t="shared" si="10"/>
        <v>0.16414217156568678</v>
      </c>
      <c r="M129" s="20">
        <f t="shared" si="11"/>
        <v>2189</v>
      </c>
      <c r="N129" s="22">
        <f t="shared" si="12"/>
        <v>2.1484485905495845</v>
      </c>
      <c r="O129" s="20">
        <f t="shared" si="13"/>
        <v>10594</v>
      </c>
      <c r="Z129" s="1"/>
      <c r="AE129"/>
    </row>
    <row r="130" spans="2:31" x14ac:dyDescent="0.25">
      <c r="B130" s="249"/>
      <c r="C130" s="249"/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249"/>
      <c r="Z130" s="1"/>
      <c r="AE130"/>
    </row>
    <row r="131" spans="2:31" x14ac:dyDescent="0.25">
      <c r="B131" s="173" t="s">
        <v>189</v>
      </c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Z131" s="1"/>
      <c r="AE131"/>
    </row>
  </sheetData>
  <mergeCells count="2">
    <mergeCell ref="B37:R37"/>
    <mergeCell ref="B47:R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001D9-D410-4D1E-B81E-9AEBF38EA9B1}">
  <sheetPr>
    <tabColor theme="4" tint="0.39997558519241921"/>
  </sheetPr>
  <dimension ref="A1:AE142"/>
  <sheetViews>
    <sheetView showGridLines="0" zoomScaleNormal="100" workbookViewId="0">
      <selection activeCell="H9" sqref="H9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196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267</v>
      </c>
      <c r="D5" s="254" t="s">
        <v>268</v>
      </c>
      <c r="E5" s="254" t="s">
        <v>269</v>
      </c>
      <c r="F5" s="255" t="str">
        <f>CONCATENATE("%/s total Tenerife ",RIGHT(E5,4))</f>
        <v>%/s total Tenerife 2022</v>
      </c>
      <c r="G5" s="254" t="s">
        <v>270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271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272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197</v>
      </c>
      <c r="C6" s="256">
        <v>46908</v>
      </c>
      <c r="D6" s="256">
        <v>83468</v>
      </c>
      <c r="E6" s="256">
        <v>123951</v>
      </c>
      <c r="F6" s="257">
        <f>E6/$E$6</f>
        <v>1</v>
      </c>
      <c r="G6" s="256">
        <v>119487</v>
      </c>
      <c r="H6" s="257">
        <f>G6/E6-1</f>
        <v>-3.6014231430161914E-2</v>
      </c>
      <c r="I6" s="256">
        <f>G6-E6</f>
        <v>-4464</v>
      </c>
      <c r="J6" s="257">
        <f>G6/$G$6</f>
        <v>1</v>
      </c>
      <c r="K6" s="256">
        <v>114632</v>
      </c>
      <c r="L6" s="257">
        <f t="shared" ref="L6:L12" si="0">K6/G6-1</f>
        <v>-4.063203528417314E-2</v>
      </c>
      <c r="M6" s="256">
        <f t="shared" ref="M6:M12" si="1">K6-G6</f>
        <v>-4855</v>
      </c>
      <c r="N6" s="257">
        <f>K6/$K$6</f>
        <v>1</v>
      </c>
      <c r="O6" s="256">
        <v>118257</v>
      </c>
      <c r="P6" s="257">
        <f t="shared" ref="P6:P11" si="2">O6/K6-1</f>
        <v>3.1622932514481228E-2</v>
      </c>
      <c r="Q6" s="256">
        <f t="shared" ref="Q6:Q12" si="3">O6-K6</f>
        <v>3625</v>
      </c>
      <c r="R6" s="257">
        <f>O6/C6-1</f>
        <v>1.5210411870043488</v>
      </c>
      <c r="S6" s="256">
        <f>O6-C6</f>
        <v>71349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58" t="s">
        <v>198</v>
      </c>
      <c r="C7" s="259">
        <v>21989</v>
      </c>
      <c r="D7" s="259">
        <v>39834</v>
      </c>
      <c r="E7" s="259">
        <v>83088</v>
      </c>
      <c r="F7" s="260">
        <f t="shared" ref="F7:F12" si="4">E7/$E$6</f>
        <v>0.67032940436140087</v>
      </c>
      <c r="G7" s="259">
        <v>81662</v>
      </c>
      <c r="H7" s="261">
        <f>G7/E7-1</f>
        <v>-1.7162526477951134E-2</v>
      </c>
      <c r="I7" s="262">
        <f>G7-E7</f>
        <v>-1426</v>
      </c>
      <c r="J7" s="260">
        <f>G7/$G$6</f>
        <v>0.68343836567994842</v>
      </c>
      <c r="K7" s="259">
        <v>80779</v>
      </c>
      <c r="L7" s="263">
        <f t="shared" si="0"/>
        <v>-1.0812862775832044E-2</v>
      </c>
      <c r="M7" s="264">
        <f t="shared" si="1"/>
        <v>-883</v>
      </c>
      <c r="N7" s="260">
        <f>K7/$K$6</f>
        <v>0.70468106636890226</v>
      </c>
      <c r="O7" s="259">
        <v>79976</v>
      </c>
      <c r="P7" s="261">
        <f t="shared" si="2"/>
        <v>-9.9407024102798891E-3</v>
      </c>
      <c r="Q7" s="262">
        <f t="shared" si="3"/>
        <v>-803</v>
      </c>
      <c r="R7" s="261">
        <f t="shared" ref="R7:R10" si="5">O7/C7-1</f>
        <v>2.6370912729091818</v>
      </c>
      <c r="S7" s="262">
        <f t="shared" ref="S7:S10" si="6">O7-C7</f>
        <v>57987</v>
      </c>
      <c r="T7" s="260">
        <f>O7/$O$6</f>
        <v>0.67628977565810056</v>
      </c>
      <c r="V7" s="29"/>
      <c r="W7" s="81"/>
      <c r="AE7" s="1" t="s">
        <v>183</v>
      </c>
    </row>
    <row r="8" spans="1:31" s="4" customFormat="1" x14ac:dyDescent="0.25">
      <c r="B8" s="99" t="s">
        <v>65</v>
      </c>
      <c r="C8" s="265">
        <v>4883</v>
      </c>
      <c r="D8" s="265">
        <v>6062</v>
      </c>
      <c r="E8" s="265">
        <v>22234</v>
      </c>
      <c r="F8" s="266">
        <f t="shared" si="4"/>
        <v>0.17937733459189517</v>
      </c>
      <c r="G8" s="265">
        <v>28199</v>
      </c>
      <c r="H8" s="267">
        <f>IFERROR(G8/E8-1,"-")</f>
        <v>0.26828281011064137</v>
      </c>
      <c r="I8" s="268">
        <f t="shared" ref="I8:I12" si="7">G8-E8</f>
        <v>5965</v>
      </c>
      <c r="J8" s="266">
        <f t="shared" ref="J8:J12" si="8">G8/$G$6</f>
        <v>0.23600056909956732</v>
      </c>
      <c r="K8" s="265">
        <v>31522</v>
      </c>
      <c r="L8" s="269">
        <f>IFERROR(K8/G8-1,"-")</f>
        <v>0.11784105819355295</v>
      </c>
      <c r="M8" s="270">
        <f>IF(G8=0,"nd",K8-G8)</f>
        <v>3323</v>
      </c>
      <c r="N8" s="271">
        <f t="shared" ref="N8:N12" si="9">K8/$K$6</f>
        <v>0.27498429757833764</v>
      </c>
      <c r="O8" s="265">
        <v>21772</v>
      </c>
      <c r="P8" s="269">
        <f>IFERROR(O8/K8-1,"-")</f>
        <v>-0.30930778503902034</v>
      </c>
      <c r="Q8" s="272">
        <f t="shared" si="3"/>
        <v>-9750</v>
      </c>
      <c r="R8" s="269">
        <f>IFERROR(O8/C8-1,"-")</f>
        <v>3.458734384599631</v>
      </c>
      <c r="S8" s="272">
        <f t="shared" si="6"/>
        <v>16889</v>
      </c>
      <c r="T8" s="271">
        <f t="shared" ref="T8:T12" si="10">O8/$O$6</f>
        <v>0.1841074946937602</v>
      </c>
      <c r="V8" s="29"/>
      <c r="W8" s="81"/>
      <c r="AE8" s="1"/>
    </row>
    <row r="9" spans="1:31" s="4" customFormat="1" x14ac:dyDescent="0.25">
      <c r="B9" s="99" t="s">
        <v>64</v>
      </c>
      <c r="C9" s="265">
        <v>17106</v>
      </c>
      <c r="D9" s="265">
        <v>33772</v>
      </c>
      <c r="E9" s="265">
        <v>60854</v>
      </c>
      <c r="F9" s="271">
        <f t="shared" si="4"/>
        <v>0.49095206976950567</v>
      </c>
      <c r="G9" s="265">
        <v>53463</v>
      </c>
      <c r="H9" s="267">
        <f>IFERROR(G9/E9-1,"-")</f>
        <v>-0.12145462911230154</v>
      </c>
      <c r="I9" s="272">
        <f t="shared" si="7"/>
        <v>-7391</v>
      </c>
      <c r="J9" s="271">
        <f t="shared" si="8"/>
        <v>0.44743779658038113</v>
      </c>
      <c r="K9" s="265">
        <v>49257</v>
      </c>
      <c r="L9" s="269">
        <f>IFERROR(K9/G9-1,"-")</f>
        <v>-7.8671230570675044E-2</v>
      </c>
      <c r="M9" s="270">
        <f>IF(G9=0,"nd",K9-G9)</f>
        <v>-4206</v>
      </c>
      <c r="N9" s="271">
        <f t="shared" si="9"/>
        <v>0.42969676879056456</v>
      </c>
      <c r="O9" s="265">
        <v>58204</v>
      </c>
      <c r="P9" s="269">
        <f t="shared" si="2"/>
        <v>0.18163915788618867</v>
      </c>
      <c r="Q9" s="272">
        <f t="shared" si="3"/>
        <v>8947</v>
      </c>
      <c r="R9" s="273">
        <f t="shared" si="5"/>
        <v>2.4025488132818893</v>
      </c>
      <c r="S9" s="272">
        <f t="shared" si="6"/>
        <v>41098</v>
      </c>
      <c r="T9" s="271">
        <f t="shared" si="10"/>
        <v>0.49218228096434036</v>
      </c>
      <c r="V9" s="29"/>
      <c r="W9" s="81"/>
      <c r="AE9" s="1"/>
    </row>
    <row r="10" spans="1:31" s="4" customFormat="1" x14ac:dyDescent="0.25">
      <c r="B10" s="258" t="s">
        <v>199</v>
      </c>
      <c r="C10" s="274">
        <v>24919</v>
      </c>
      <c r="D10" s="274">
        <v>43634</v>
      </c>
      <c r="E10" s="274">
        <v>40863</v>
      </c>
      <c r="F10" s="275">
        <f>IFERROR(E10/$E$6,"-")</f>
        <v>0.32967059563859913</v>
      </c>
      <c r="G10" s="274">
        <v>37825</v>
      </c>
      <c r="H10" s="263">
        <f>IFERROR(G10/E10-1,"-")</f>
        <v>-7.4345985365734335E-2</v>
      </c>
      <c r="I10" s="264">
        <f>IFERROR(G10-E10,"-")</f>
        <v>-3038</v>
      </c>
      <c r="J10" s="275">
        <f>IFERROR(G10/$G$6,"-")</f>
        <v>0.31656163432005158</v>
      </c>
      <c r="K10" s="274">
        <v>33853</v>
      </c>
      <c r="L10" s="263">
        <f>IFERROR(K10/G10-1,"-")</f>
        <v>-0.10500991407799076</v>
      </c>
      <c r="M10" s="264">
        <f>IFERROR(K10-G10,"-")</f>
        <v>-3972</v>
      </c>
      <c r="N10" s="275">
        <f>IFERROR(K10/$K$6,"-")</f>
        <v>0.29531893363109779</v>
      </c>
      <c r="O10" s="274">
        <v>38281</v>
      </c>
      <c r="P10" s="263">
        <f>IFERROR(O10/K10-1,"-")</f>
        <v>0.1308008152896345</v>
      </c>
      <c r="Q10" s="264">
        <f>IFERROR(O10-K10,"-")</f>
        <v>4428</v>
      </c>
      <c r="R10" s="263">
        <f t="shared" si="5"/>
        <v>0.53621734419519251</v>
      </c>
      <c r="S10" s="264">
        <f t="shared" si="6"/>
        <v>13362</v>
      </c>
      <c r="T10" s="275">
        <f>IFERROR(O10/$O$6,"-")</f>
        <v>0.32371022434189944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4639</v>
      </c>
      <c r="D11" s="265">
        <v>7001</v>
      </c>
      <c r="E11" s="265">
        <v>10620</v>
      </c>
      <c r="F11" s="271">
        <f t="shared" si="4"/>
        <v>8.5679018321756173E-2</v>
      </c>
      <c r="G11" s="265">
        <v>14255</v>
      </c>
      <c r="H11" s="273">
        <f t="shared" ref="H11:H12" si="11">G11/E11-1</f>
        <v>0.34227871939736354</v>
      </c>
      <c r="I11" s="272">
        <f t="shared" si="7"/>
        <v>3635</v>
      </c>
      <c r="J11" s="271">
        <f t="shared" si="8"/>
        <v>0.11930168135445697</v>
      </c>
      <c r="K11" s="265">
        <v>14097</v>
      </c>
      <c r="L11" s="269">
        <f>K11/G11-1</f>
        <v>-1.1083830235005254E-2</v>
      </c>
      <c r="M11" s="272">
        <f t="shared" si="1"/>
        <v>-158</v>
      </c>
      <c r="N11" s="271">
        <f t="shared" si="9"/>
        <v>0.12297613231907321</v>
      </c>
      <c r="O11" s="265">
        <v>13647</v>
      </c>
      <c r="P11" s="273">
        <f t="shared" si="2"/>
        <v>-3.1921685464992522E-2</v>
      </c>
      <c r="Q11" s="272">
        <f t="shared" si="3"/>
        <v>-450</v>
      </c>
      <c r="R11" s="273">
        <f t="shared" ref="R11:R12" si="12">O11/D11-1</f>
        <v>0.94929295814883585</v>
      </c>
      <c r="S11" s="272">
        <f t="shared" ref="S11:S12" si="13">O11-D11</f>
        <v>6646</v>
      </c>
      <c r="T11" s="271">
        <f t="shared" si="10"/>
        <v>0.11540120246581598</v>
      </c>
      <c r="V11" s="29"/>
      <c r="W11" s="81"/>
      <c r="AE11" s="1"/>
    </row>
    <row r="12" spans="1:31" s="4" customFormat="1" hidden="1" x14ac:dyDescent="0.25">
      <c r="B12" s="99" t="s">
        <v>64</v>
      </c>
      <c r="C12" s="265">
        <v>608</v>
      </c>
      <c r="D12" s="265">
        <v>838</v>
      </c>
      <c r="E12" s="265">
        <v>827</v>
      </c>
      <c r="F12" s="271">
        <f t="shared" si="4"/>
        <v>6.6719913514211261E-3</v>
      </c>
      <c r="G12" s="265">
        <v>593</v>
      </c>
      <c r="H12" s="273">
        <f t="shared" si="11"/>
        <v>-0.28295042321644504</v>
      </c>
      <c r="I12" s="272">
        <f t="shared" si="7"/>
        <v>-234</v>
      </c>
      <c r="J12" s="271">
        <f t="shared" si="8"/>
        <v>4.9628829914551377E-3</v>
      </c>
      <c r="K12" s="265">
        <v>912</v>
      </c>
      <c r="L12" s="269">
        <f t="shared" si="0"/>
        <v>0.53794266441821237</v>
      </c>
      <c r="M12" s="272">
        <f t="shared" si="1"/>
        <v>319</v>
      </c>
      <c r="N12" s="271">
        <f t="shared" si="9"/>
        <v>7.9558936422639403E-3</v>
      </c>
      <c r="O12" s="265">
        <v>3065</v>
      </c>
      <c r="P12" s="273">
        <f>O12/K12-1</f>
        <v>2.3607456140350878</v>
      </c>
      <c r="Q12" s="272">
        <f t="shared" si="3"/>
        <v>2153</v>
      </c>
      <c r="R12" s="273">
        <f t="shared" si="12"/>
        <v>2.6575178997613365</v>
      </c>
      <c r="S12" s="272">
        <f t="shared" si="13"/>
        <v>2227</v>
      </c>
      <c r="T12" s="271">
        <f t="shared" si="10"/>
        <v>2.5918127468141421E-2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188</v>
      </c>
    </row>
    <row r="14" spans="1:31" s="4" customFormat="1" x14ac:dyDescent="0.25">
      <c r="B14" s="173" t="s">
        <v>189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190</v>
      </c>
    </row>
    <row r="15" spans="1:31" s="4" customFormat="1" x14ac:dyDescent="0.25">
      <c r="AE15" s="1"/>
    </row>
    <row r="18" spans="1:27" x14ac:dyDescent="0.25">
      <c r="A18" t="s">
        <v>200</v>
      </c>
    </row>
    <row r="19" spans="1:27" x14ac:dyDescent="0.25">
      <c r="AA19" t="str">
        <f>CONCATENATE("Hoteles: 
",FIXED(O7,0)," viajeros 
cuota: ",FIXED(T7*100,1),"%")</f>
        <v>Hoteles: 
79.976 viajeros 
cuota: 67,6%</v>
      </c>
    </row>
    <row r="20" spans="1:27" x14ac:dyDescent="0.25">
      <c r="AA20" t="str">
        <f>CONCATENATE("Apartamentos: 
",FIXED(O10,0)," viajeros
cuota: ",FIXED(T10*100,1),"%")</f>
        <v>Apartamentos: 
38.281 viajeros
cuota: 32,4%</v>
      </c>
    </row>
    <row r="25" spans="1:27" x14ac:dyDescent="0.25">
      <c r="B25" t="s">
        <v>12</v>
      </c>
    </row>
    <row r="38" spans="2:31" s="4" customFormat="1" ht="15.75" hidden="1" customHeight="1" thickBot="1" x14ac:dyDescent="0.3">
      <c r="B38" s="283" t="s">
        <v>191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192</v>
      </c>
      <c r="O40" s="14">
        <v>2021</v>
      </c>
      <c r="P40" s="14" t="s">
        <v>192</v>
      </c>
      <c r="Q40" s="14" t="s">
        <v>193</v>
      </c>
      <c r="R40" s="14" t="s">
        <v>194</v>
      </c>
      <c r="S40" s="14" t="s">
        <v>195</v>
      </c>
      <c r="T40" s="89"/>
      <c r="AE40" s="1"/>
    </row>
    <row r="41" spans="2:31" s="4" customFormat="1" ht="18.75" hidden="1" x14ac:dyDescent="0.3">
      <c r="B41" s="237" t="s">
        <v>179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180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181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182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183</v>
      </c>
    </row>
    <row r="45" spans="2:31" s="4" customFormat="1" hidden="1" x14ac:dyDescent="0.25">
      <c r="B45" s="248" t="s">
        <v>184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185</v>
      </c>
    </row>
    <row r="46" spans="2:31" s="4" customFormat="1" hidden="1" x14ac:dyDescent="0.25">
      <c r="B46" s="248" t="s">
        <v>186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187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188</v>
      </c>
    </row>
    <row r="48" spans="2:31" s="4" customFormat="1" hidden="1" x14ac:dyDescent="0.25">
      <c r="B48" s="282" t="s">
        <v>189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190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201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197</v>
      </c>
      <c r="C134" s="256">
        <v>46908</v>
      </c>
      <c r="D134" s="241">
        <v>39986</v>
      </c>
      <c r="E134" s="241">
        <v>75857</v>
      </c>
      <c r="F134" s="241">
        <v>66877</v>
      </c>
      <c r="G134" s="242">
        <f>F134/E134-1</f>
        <v>-0.11838063725167092</v>
      </c>
      <c r="H134" s="241">
        <f>F134-E134</f>
        <v>-8980</v>
      </c>
      <c r="I134" s="242">
        <f>F134/F$134</f>
        <v>1</v>
      </c>
      <c r="J134" s="241">
        <v>64410</v>
      </c>
      <c r="K134" s="242">
        <f>J134/J$134</f>
        <v>1</v>
      </c>
      <c r="L134" s="242">
        <f>J134/F134-1</f>
        <v>-3.6888616415210018E-2</v>
      </c>
      <c r="M134" s="241">
        <f>J134-F134</f>
        <v>-2467</v>
      </c>
      <c r="N134" s="242">
        <f>J134/D134-1</f>
        <v>0.61081378482468862</v>
      </c>
      <c r="O134" s="241">
        <f>J134-D134</f>
        <v>24424</v>
      </c>
      <c r="Q134" s="29"/>
      <c r="R134" s="81"/>
      <c r="Z134" s="1" t="s">
        <v>181</v>
      </c>
      <c r="AE134"/>
    </row>
    <row r="135" spans="1:31" s="4" customFormat="1" x14ac:dyDescent="0.25">
      <c r="B135" s="258" t="s">
        <v>198</v>
      </c>
      <c r="C135" s="259">
        <v>21989</v>
      </c>
      <c r="D135" s="259">
        <v>30757</v>
      </c>
      <c r="E135" s="259">
        <v>64410</v>
      </c>
      <c r="F135" s="259">
        <v>52029</v>
      </c>
      <c r="G135" s="263">
        <f>IFERROR(F135/E135-1,"-")</f>
        <v>-0.19222170470423849</v>
      </c>
      <c r="H135" s="259">
        <f t="shared" ref="H135:H138" si="14">F135-E135</f>
        <v>-12381</v>
      </c>
      <c r="I135" s="261">
        <f>F135/F$134</f>
        <v>0.77798047161206396</v>
      </c>
      <c r="J135" s="259">
        <v>49401</v>
      </c>
      <c r="K135" s="260">
        <f t="shared" ref="K135:K138" si="15">J135/J$134</f>
        <v>0.76697717745691663</v>
      </c>
      <c r="L135" s="261">
        <f t="shared" ref="L135:L138" si="16">J135/F135-1</f>
        <v>-5.0510292336965912E-2</v>
      </c>
      <c r="M135" s="262">
        <f t="shared" ref="M135:M138" si="17">J135-F135</f>
        <v>-2628</v>
      </c>
      <c r="N135" s="260">
        <f t="shared" ref="N135:N138" si="18">J135/D135-1</f>
        <v>0.60617095295379908</v>
      </c>
      <c r="O135" s="259">
        <f t="shared" ref="O135:O138" si="19">J135-D135</f>
        <v>18644</v>
      </c>
      <c r="Q135" s="29"/>
      <c r="R135" s="81"/>
      <c r="Z135" s="1" t="s">
        <v>183</v>
      </c>
    </row>
    <row r="136" spans="1:31" s="4" customFormat="1" x14ac:dyDescent="0.25">
      <c r="B136" s="99" t="s">
        <v>65</v>
      </c>
      <c r="C136" s="265">
        <v>4883</v>
      </c>
      <c r="D136" s="265">
        <v>1711</v>
      </c>
      <c r="E136" s="265">
        <v>12871</v>
      </c>
      <c r="F136" s="265">
        <v>12582</v>
      </c>
      <c r="G136" s="269">
        <f t="shared" ref="G136:G138" si="20">IFERROR(F136/E136-1,"-")</f>
        <v>-2.2453577810581882E-2</v>
      </c>
      <c r="H136" s="265">
        <f t="shared" si="14"/>
        <v>-289</v>
      </c>
      <c r="I136" s="273">
        <f t="shared" ref="I136:I138" si="21">F136/F$134</f>
        <v>0.18813642956472329</v>
      </c>
      <c r="J136" s="265">
        <v>10231</v>
      </c>
      <c r="K136" s="271">
        <f t="shared" si="15"/>
        <v>0.15884179475236765</v>
      </c>
      <c r="L136" s="273">
        <f t="shared" si="16"/>
        <v>-0.18685423621045938</v>
      </c>
      <c r="M136" s="272">
        <f t="shared" si="17"/>
        <v>-2351</v>
      </c>
      <c r="N136" s="271">
        <f t="shared" si="18"/>
        <v>4.9795441262419642</v>
      </c>
      <c r="O136" s="265">
        <f t="shared" si="19"/>
        <v>8520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17480</v>
      </c>
      <c r="D137" s="265">
        <v>29046</v>
      </c>
      <c r="E137" s="265">
        <v>51539</v>
      </c>
      <c r="F137" s="265">
        <v>39447</v>
      </c>
      <c r="G137" s="267">
        <f t="shared" si="20"/>
        <v>-0.23461844428491041</v>
      </c>
      <c r="H137" s="265">
        <f t="shared" si="14"/>
        <v>-12092</v>
      </c>
      <c r="I137" s="277">
        <f t="shared" si="21"/>
        <v>0.58984404204734064</v>
      </c>
      <c r="J137" s="265">
        <v>39170</v>
      </c>
      <c r="K137" s="271">
        <f t="shared" si="15"/>
        <v>0.60813538270454903</v>
      </c>
      <c r="L137" s="273">
        <f t="shared" si="16"/>
        <v>-7.0220802595888365E-3</v>
      </c>
      <c r="M137" s="272">
        <f t="shared" si="17"/>
        <v>-277</v>
      </c>
      <c r="N137" s="271">
        <f t="shared" si="18"/>
        <v>0.34855057495007924</v>
      </c>
      <c r="O137" s="265">
        <f t="shared" si="19"/>
        <v>10124</v>
      </c>
      <c r="Q137" s="29"/>
      <c r="R137" s="81"/>
      <c r="Z137" s="1"/>
    </row>
    <row r="138" spans="1:31" s="4" customFormat="1" x14ac:dyDescent="0.25">
      <c r="B138" s="258" t="s">
        <v>199</v>
      </c>
      <c r="C138" s="259">
        <v>6019</v>
      </c>
      <c r="D138" s="259">
        <v>9229</v>
      </c>
      <c r="E138" s="259">
        <v>11447</v>
      </c>
      <c r="F138" s="259">
        <v>14848</v>
      </c>
      <c r="G138" s="263">
        <f t="shared" si="20"/>
        <v>0.29710841268454624</v>
      </c>
      <c r="H138" s="259">
        <f t="shared" si="14"/>
        <v>3401</v>
      </c>
      <c r="I138" s="261">
        <f t="shared" si="21"/>
        <v>0.22201952838793607</v>
      </c>
      <c r="J138" s="259">
        <v>15009</v>
      </c>
      <c r="K138" s="260">
        <f t="shared" si="15"/>
        <v>0.23302282254308337</v>
      </c>
      <c r="L138" s="261">
        <f t="shared" si="16"/>
        <v>1.0843211206896575E-2</v>
      </c>
      <c r="M138" s="262">
        <f t="shared" si="17"/>
        <v>161</v>
      </c>
      <c r="N138" s="260">
        <f t="shared" si="18"/>
        <v>0.6262867049517824</v>
      </c>
      <c r="O138" s="259">
        <f t="shared" si="19"/>
        <v>5780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188</v>
      </c>
    </row>
    <row r="140" spans="1:31" s="4" customFormat="1" ht="32.25" customHeight="1" x14ac:dyDescent="0.25">
      <c r="B140" s="321" t="s">
        <v>202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190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F4F7F-BCC5-4943-911A-75F43D831439}">
  <sheetPr>
    <tabColor theme="4" tint="0.39997558519241921"/>
  </sheetPr>
  <dimension ref="A1:AE142"/>
  <sheetViews>
    <sheetView showGridLines="0" zoomScaleNormal="100" workbookViewId="0">
      <selection activeCell="H9" sqref="H9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196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267</v>
      </c>
      <c r="D5" s="254" t="s">
        <v>268</v>
      </c>
      <c r="E5" s="254" t="s">
        <v>269</v>
      </c>
      <c r="F5" s="255" t="str">
        <f>CONCATENATE("%/s total Tenerife ",RIGHT(E5,4))</f>
        <v>%/s total Tenerife 2022</v>
      </c>
      <c r="G5" s="254" t="s">
        <v>270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271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272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203</v>
      </c>
      <c r="C6" s="256">
        <v>23619</v>
      </c>
      <c r="D6" s="256">
        <v>39986</v>
      </c>
      <c r="E6" s="256">
        <v>75857</v>
      </c>
      <c r="F6" s="257">
        <f>E6/$E$6</f>
        <v>1</v>
      </c>
      <c r="G6" s="256">
        <v>66877</v>
      </c>
      <c r="H6" s="257">
        <f>G6/E6-1</f>
        <v>-0.11838063725167092</v>
      </c>
      <c r="I6" s="256">
        <f>G6-E6</f>
        <v>-8980</v>
      </c>
      <c r="J6" s="257">
        <f>G6/$G$6</f>
        <v>1</v>
      </c>
      <c r="K6" s="256">
        <v>64410</v>
      </c>
      <c r="L6" s="257">
        <f t="shared" ref="L6:L12" si="0">K6/G6-1</f>
        <v>-3.6888616415210018E-2</v>
      </c>
      <c r="M6" s="256">
        <f t="shared" ref="M6:M12" si="1">K6-G6</f>
        <v>-2467</v>
      </c>
      <c r="N6" s="257">
        <f>K6/$K$6</f>
        <v>1</v>
      </c>
      <c r="O6" s="256">
        <v>66849</v>
      </c>
      <c r="P6" s="257">
        <f t="shared" ref="P6:P11" si="2">O6/K6-1</f>
        <v>3.7866790870982658E-2</v>
      </c>
      <c r="Q6" s="256">
        <f t="shared" ref="Q6:Q12" si="3">O6-K6</f>
        <v>2439</v>
      </c>
      <c r="R6" s="257">
        <f>O6/C6-1</f>
        <v>1.8303061094881241</v>
      </c>
      <c r="S6" s="256">
        <f>O6-C6</f>
        <v>43230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58" t="s">
        <v>198</v>
      </c>
      <c r="C7" s="259">
        <v>18372</v>
      </c>
      <c r="D7" s="259">
        <v>30757</v>
      </c>
      <c r="E7" s="259">
        <v>64410</v>
      </c>
      <c r="F7" s="260">
        <f t="shared" ref="F7:F12" si="4">E7/$E$6</f>
        <v>0.8490976442516841</v>
      </c>
      <c r="G7" s="259">
        <v>52029</v>
      </c>
      <c r="H7" s="261">
        <f>G7/E7-1</f>
        <v>-0.19222170470423849</v>
      </c>
      <c r="I7" s="262">
        <f>G7-E7</f>
        <v>-12381</v>
      </c>
      <c r="J7" s="260">
        <f>G7/$G$6</f>
        <v>0.77798047161206396</v>
      </c>
      <c r="K7" s="259">
        <v>49401</v>
      </c>
      <c r="L7" s="263">
        <f t="shared" si="0"/>
        <v>-5.0510292336965912E-2</v>
      </c>
      <c r="M7" s="264">
        <f t="shared" si="1"/>
        <v>-2628</v>
      </c>
      <c r="N7" s="260">
        <f>K7/$K$6</f>
        <v>0.76697717745691663</v>
      </c>
      <c r="O7" s="259">
        <v>50137</v>
      </c>
      <c r="P7" s="261">
        <f t="shared" si="2"/>
        <v>1.48984838363595E-2</v>
      </c>
      <c r="Q7" s="262">
        <f t="shared" si="3"/>
        <v>736</v>
      </c>
      <c r="R7" s="261">
        <f t="shared" ref="R7:R10" si="5">O7/C7-1</f>
        <v>1.7289897670367953</v>
      </c>
      <c r="S7" s="262">
        <f t="shared" ref="S7:S10" si="6">O7-C7</f>
        <v>31765</v>
      </c>
      <c r="T7" s="260">
        <f>O7/$O$6</f>
        <v>0.7500037397717243</v>
      </c>
      <c r="V7" s="29"/>
      <c r="W7" s="81"/>
      <c r="AE7" s="1" t="s">
        <v>183</v>
      </c>
    </row>
    <row r="8" spans="1:31" s="4" customFormat="1" x14ac:dyDescent="0.25">
      <c r="B8" s="99" t="s">
        <v>65</v>
      </c>
      <c r="C8" s="265">
        <v>2891</v>
      </c>
      <c r="D8" s="265">
        <v>1711</v>
      </c>
      <c r="E8" s="265">
        <v>12871</v>
      </c>
      <c r="F8" s="266">
        <f t="shared" si="4"/>
        <v>0.16967451916105303</v>
      </c>
      <c r="G8" s="265">
        <v>12582</v>
      </c>
      <c r="H8" s="267">
        <f>IFERROR(G8/E8-1,"-")</f>
        <v>-2.2453577810581882E-2</v>
      </c>
      <c r="I8" s="268">
        <f t="shared" ref="I8:I12" si="7">G8-E8</f>
        <v>-289</v>
      </c>
      <c r="J8" s="266">
        <f t="shared" ref="J8:J12" si="8">G8/$G$6</f>
        <v>0.18813642956472329</v>
      </c>
      <c r="K8" s="265">
        <v>10231</v>
      </c>
      <c r="L8" s="269">
        <f>IFERROR(K8/G8-1,"-")</f>
        <v>-0.18685423621045938</v>
      </c>
      <c r="M8" s="270">
        <f>IF(G8=0,"nd",K8-G8)</f>
        <v>-2351</v>
      </c>
      <c r="N8" s="271">
        <f t="shared" ref="N8:N12" si="9">K8/$K$6</f>
        <v>0.15884179475236765</v>
      </c>
      <c r="O8" s="265">
        <v>9947</v>
      </c>
      <c r="P8" s="269">
        <f>IFERROR(O8/K8-1,"-")</f>
        <v>-2.7758772358518202E-2</v>
      </c>
      <c r="Q8" s="272">
        <f t="shared" si="3"/>
        <v>-284</v>
      </c>
      <c r="R8" s="269">
        <f>IFERROR(O8/C8-1,"-")</f>
        <v>2.4406779661016951</v>
      </c>
      <c r="S8" s="272">
        <f t="shared" si="6"/>
        <v>7056</v>
      </c>
      <c r="T8" s="271">
        <f t="shared" ref="T8:T12" si="10">O8/$O$6</f>
        <v>0.14879803736779906</v>
      </c>
      <c r="V8" s="29"/>
      <c r="W8" s="81"/>
      <c r="AE8" s="1"/>
    </row>
    <row r="9" spans="1:31" s="4" customFormat="1" x14ac:dyDescent="0.25">
      <c r="B9" s="99" t="s">
        <v>64</v>
      </c>
      <c r="C9" s="265">
        <v>15481</v>
      </c>
      <c r="D9" s="265">
        <v>29046</v>
      </c>
      <c r="E9" s="265">
        <v>51539</v>
      </c>
      <c r="F9" s="271">
        <f t="shared" si="4"/>
        <v>0.67942312509063107</v>
      </c>
      <c r="G9" s="265">
        <v>39447</v>
      </c>
      <c r="H9" s="267">
        <f>IFERROR(G9/E9-1,"-")</f>
        <v>-0.23461844428491041</v>
      </c>
      <c r="I9" s="272">
        <f t="shared" si="7"/>
        <v>-12092</v>
      </c>
      <c r="J9" s="271">
        <f t="shared" si="8"/>
        <v>0.58984404204734064</v>
      </c>
      <c r="K9" s="265">
        <v>39170</v>
      </c>
      <c r="L9" s="269">
        <f>IFERROR(K9/G9-1,"-")</f>
        <v>-7.0220802595888365E-3</v>
      </c>
      <c r="M9" s="270">
        <f>IF(G9=0,"nd",K9-G9)</f>
        <v>-277</v>
      </c>
      <c r="N9" s="271">
        <f t="shared" si="9"/>
        <v>0.60813538270454903</v>
      </c>
      <c r="O9" s="265">
        <v>40190</v>
      </c>
      <c r="P9" s="269">
        <f t="shared" si="2"/>
        <v>2.6040336992596336E-2</v>
      </c>
      <c r="Q9" s="272">
        <f t="shared" si="3"/>
        <v>1020</v>
      </c>
      <c r="R9" s="273">
        <f t="shared" si="5"/>
        <v>1.5960855241909435</v>
      </c>
      <c r="S9" s="272">
        <f t="shared" si="6"/>
        <v>24709</v>
      </c>
      <c r="T9" s="271">
        <f t="shared" si="10"/>
        <v>0.60120570240392524</v>
      </c>
      <c r="V9" s="29"/>
      <c r="W9" s="81"/>
      <c r="AE9" s="1"/>
    </row>
    <row r="10" spans="1:31" s="4" customFormat="1" x14ac:dyDescent="0.25">
      <c r="B10" s="258" t="s">
        <v>199</v>
      </c>
      <c r="C10" s="274">
        <v>5247</v>
      </c>
      <c r="D10" s="274">
        <v>9229</v>
      </c>
      <c r="E10" s="274">
        <v>11447</v>
      </c>
      <c r="F10" s="275">
        <f>IFERROR(E10/$E$6,"-")</f>
        <v>0.1509023557483159</v>
      </c>
      <c r="G10" s="274">
        <v>14848</v>
      </c>
      <c r="H10" s="263">
        <f>IFERROR(G10/E10-1,"-")</f>
        <v>0.29710841268454624</v>
      </c>
      <c r="I10" s="264">
        <f>IFERROR(G10-E10,"-")</f>
        <v>3401</v>
      </c>
      <c r="J10" s="275">
        <f>IFERROR(G10/$G$6,"-")</f>
        <v>0.22201952838793607</v>
      </c>
      <c r="K10" s="274">
        <v>15009</v>
      </c>
      <c r="L10" s="263">
        <f>IFERROR(K10/G10-1,"-")</f>
        <v>1.0843211206896575E-2</v>
      </c>
      <c r="M10" s="264">
        <f>IFERROR(K10-G10,"-")</f>
        <v>161</v>
      </c>
      <c r="N10" s="275">
        <f>IFERROR(K10/$K$6,"-")</f>
        <v>0.23302282254308337</v>
      </c>
      <c r="O10" s="274">
        <v>16712</v>
      </c>
      <c r="P10" s="263">
        <f>IFERROR(O10/K10-1,"-")</f>
        <v>0.11346525418082476</v>
      </c>
      <c r="Q10" s="264">
        <f>IFERROR(O10-K10,"-")</f>
        <v>1703</v>
      </c>
      <c r="R10" s="263">
        <f t="shared" si="5"/>
        <v>2.1850581284543549</v>
      </c>
      <c r="S10" s="264">
        <f t="shared" si="6"/>
        <v>11465</v>
      </c>
      <c r="T10" s="275">
        <f>IFERROR(O10/$O$6,"-")</f>
        <v>0.24999626022827567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4639</v>
      </c>
      <c r="D11" s="265">
        <v>7001</v>
      </c>
      <c r="E11" s="265">
        <v>10620</v>
      </c>
      <c r="F11" s="271">
        <f t="shared" si="4"/>
        <v>0.14000026365398052</v>
      </c>
      <c r="G11" s="265">
        <v>14255</v>
      </c>
      <c r="H11" s="273">
        <f t="shared" ref="H11:H12" si="11">G11/E11-1</f>
        <v>0.34227871939736354</v>
      </c>
      <c r="I11" s="272">
        <f t="shared" si="7"/>
        <v>3635</v>
      </c>
      <c r="J11" s="271">
        <f t="shared" si="8"/>
        <v>0.21315250385035214</v>
      </c>
      <c r="K11" s="265">
        <v>14097</v>
      </c>
      <c r="L11" s="269">
        <f>K11/G11-1</f>
        <v>-1.1083830235005254E-2</v>
      </c>
      <c r="M11" s="272">
        <f t="shared" si="1"/>
        <v>-158</v>
      </c>
      <c r="N11" s="271">
        <f t="shared" si="9"/>
        <v>0.21886353050768514</v>
      </c>
      <c r="O11" s="265">
        <v>13647</v>
      </c>
      <c r="P11" s="273">
        <f t="shared" si="2"/>
        <v>-3.1921685464992522E-2</v>
      </c>
      <c r="Q11" s="272">
        <f t="shared" si="3"/>
        <v>-450</v>
      </c>
      <c r="R11" s="273">
        <f t="shared" ref="R11:R12" si="12">O11/D11-1</f>
        <v>0.94929295814883585</v>
      </c>
      <c r="S11" s="272">
        <f t="shared" ref="S11:S12" si="13">O11-D11</f>
        <v>6646</v>
      </c>
      <c r="T11" s="271">
        <f t="shared" si="10"/>
        <v>0.20414665888794148</v>
      </c>
      <c r="V11" s="29"/>
      <c r="W11" s="81"/>
      <c r="AE11" s="1"/>
    </row>
    <row r="12" spans="1:31" s="4" customFormat="1" hidden="1" x14ac:dyDescent="0.25">
      <c r="B12" s="99" t="s">
        <v>64</v>
      </c>
      <c r="C12" s="265">
        <v>608</v>
      </c>
      <c r="D12" s="265">
        <v>838</v>
      </c>
      <c r="E12" s="265">
        <v>827</v>
      </c>
      <c r="F12" s="271">
        <f t="shared" si="4"/>
        <v>1.0902092094335394E-2</v>
      </c>
      <c r="G12" s="265">
        <v>593</v>
      </c>
      <c r="H12" s="273">
        <f t="shared" si="11"/>
        <v>-0.28295042321644504</v>
      </c>
      <c r="I12" s="272">
        <f t="shared" si="7"/>
        <v>-234</v>
      </c>
      <c r="J12" s="271">
        <f t="shared" si="8"/>
        <v>8.8670245375839229E-3</v>
      </c>
      <c r="K12" s="265">
        <v>912</v>
      </c>
      <c r="L12" s="269">
        <f t="shared" si="0"/>
        <v>0.53794266441821237</v>
      </c>
      <c r="M12" s="272">
        <f t="shared" si="1"/>
        <v>319</v>
      </c>
      <c r="N12" s="271">
        <f t="shared" si="9"/>
        <v>1.415929203539823E-2</v>
      </c>
      <c r="O12" s="265">
        <v>3065</v>
      </c>
      <c r="P12" s="273">
        <f>O12/K12-1</f>
        <v>2.3607456140350878</v>
      </c>
      <c r="Q12" s="272">
        <f t="shared" si="3"/>
        <v>2153</v>
      </c>
      <c r="R12" s="273">
        <f t="shared" si="12"/>
        <v>2.6575178997613365</v>
      </c>
      <c r="S12" s="272">
        <f t="shared" si="13"/>
        <v>2227</v>
      </c>
      <c r="T12" s="271">
        <f t="shared" si="10"/>
        <v>4.5849601340334188E-2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188</v>
      </c>
    </row>
    <row r="14" spans="1:31" s="4" customFormat="1" x14ac:dyDescent="0.25">
      <c r="B14" s="173" t="s">
        <v>189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190</v>
      </c>
    </row>
    <row r="15" spans="1:31" s="4" customFormat="1" x14ac:dyDescent="0.25">
      <c r="AE15" s="1"/>
    </row>
    <row r="19" spans="2:27" x14ac:dyDescent="0.25">
      <c r="AA19" t="str">
        <f>CONCATENATE("Hoteles: 
",FIXED(O7,0)," viajeros 
cuota: ",FIXED(T7*100,1),"%")</f>
        <v>Hoteles: 
50.137 viajeros 
cuota: 75,0%</v>
      </c>
    </row>
    <row r="20" spans="2:27" x14ac:dyDescent="0.25">
      <c r="AA20" t="str">
        <f>CONCATENATE("Apartamentos: 
",FIXED(O10,0)," viajeros
cuota: ",FIXED(T10*100,1),"%")</f>
        <v>Apartamentos: 
16.712 viajeros
cuota: 25,0%</v>
      </c>
    </row>
    <row r="25" spans="2:27" x14ac:dyDescent="0.25">
      <c r="B25" t="s">
        <v>12</v>
      </c>
    </row>
    <row r="38" spans="2:31" s="4" customFormat="1" ht="15.75" hidden="1" customHeight="1" thickBot="1" x14ac:dyDescent="0.3">
      <c r="B38" s="283" t="s">
        <v>191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192</v>
      </c>
      <c r="O40" s="14">
        <v>2021</v>
      </c>
      <c r="P40" s="14" t="s">
        <v>192</v>
      </c>
      <c r="Q40" s="14" t="s">
        <v>193</v>
      </c>
      <c r="R40" s="14" t="s">
        <v>194</v>
      </c>
      <c r="S40" s="14" t="s">
        <v>195</v>
      </c>
      <c r="T40" s="89"/>
      <c r="AE40" s="1"/>
    </row>
    <row r="41" spans="2:31" s="4" customFormat="1" ht="18.75" hidden="1" x14ac:dyDescent="0.3">
      <c r="B41" s="237" t="s">
        <v>179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180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181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182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183</v>
      </c>
    </row>
    <row r="45" spans="2:31" s="4" customFormat="1" hidden="1" x14ac:dyDescent="0.25">
      <c r="B45" s="248" t="s">
        <v>184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185</v>
      </c>
    </row>
    <row r="46" spans="2:31" s="4" customFormat="1" hidden="1" x14ac:dyDescent="0.25">
      <c r="B46" s="248" t="s">
        <v>186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187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188</v>
      </c>
    </row>
    <row r="48" spans="2:31" s="4" customFormat="1" hidden="1" x14ac:dyDescent="0.25">
      <c r="B48" s="282" t="s">
        <v>189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190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204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203</v>
      </c>
      <c r="C134" s="241">
        <v>26848</v>
      </c>
      <c r="D134" s="241">
        <v>39986</v>
      </c>
      <c r="E134" s="241">
        <v>75857</v>
      </c>
      <c r="F134" s="241">
        <v>66877</v>
      </c>
      <c r="G134" s="242">
        <f>F134/E134-1</f>
        <v>-0.11838063725167092</v>
      </c>
      <c r="H134" s="241">
        <f>F134-E134</f>
        <v>-8980</v>
      </c>
      <c r="I134" s="242">
        <f>F134/F$134</f>
        <v>1</v>
      </c>
      <c r="J134" s="241">
        <v>64410</v>
      </c>
      <c r="K134" s="242">
        <f>J134/J$134</f>
        <v>1</v>
      </c>
      <c r="L134" s="242">
        <f>J134/F134-1</f>
        <v>-3.6888616415210018E-2</v>
      </c>
      <c r="M134" s="241">
        <f>J134-F134</f>
        <v>-2467</v>
      </c>
      <c r="N134" s="242">
        <f>J134/D134-1</f>
        <v>0.61081378482468862</v>
      </c>
      <c r="O134" s="241">
        <f>J134-D134</f>
        <v>24424</v>
      </c>
      <c r="Q134" s="29"/>
      <c r="R134" s="81"/>
      <c r="Z134" s="1" t="s">
        <v>181</v>
      </c>
      <c r="AE134"/>
    </row>
    <row r="135" spans="1:31" s="4" customFormat="1" x14ac:dyDescent="0.25">
      <c r="B135" s="258" t="s">
        <v>198</v>
      </c>
      <c r="C135" s="259">
        <v>20829</v>
      </c>
      <c r="D135" s="259">
        <v>30757</v>
      </c>
      <c r="E135" s="259">
        <v>64410</v>
      </c>
      <c r="F135" s="259">
        <v>52029</v>
      </c>
      <c r="G135" s="263">
        <f>IFERROR(F135/E135-1,"-")</f>
        <v>-0.19222170470423849</v>
      </c>
      <c r="H135" s="259">
        <f t="shared" ref="H135:H138" si="14">F135-E135</f>
        <v>-12381</v>
      </c>
      <c r="I135" s="261">
        <f>F135/F$134</f>
        <v>0.77798047161206396</v>
      </c>
      <c r="J135" s="259">
        <v>49401</v>
      </c>
      <c r="K135" s="260">
        <f t="shared" ref="K135:K138" si="15">J135/J$134</f>
        <v>0.76697717745691663</v>
      </c>
      <c r="L135" s="261">
        <f t="shared" ref="L135:L138" si="16">J135/F135-1</f>
        <v>-5.0510292336965912E-2</v>
      </c>
      <c r="M135" s="262">
        <f t="shared" ref="M135:M138" si="17">J135-F135</f>
        <v>-2628</v>
      </c>
      <c r="N135" s="260">
        <f t="shared" ref="N135:N138" si="18">J135/D135-1</f>
        <v>0.60617095295379908</v>
      </c>
      <c r="O135" s="259">
        <f t="shared" ref="O135:O138" si="19">J135-D135</f>
        <v>18644</v>
      </c>
      <c r="Q135" s="29"/>
      <c r="R135" s="81"/>
      <c r="Z135" s="1" t="s">
        <v>183</v>
      </c>
    </row>
    <row r="136" spans="1:31" s="4" customFormat="1" x14ac:dyDescent="0.25">
      <c r="B136" s="99" t="s">
        <v>65</v>
      </c>
      <c r="C136" s="265">
        <v>3349</v>
      </c>
      <c r="D136" s="265">
        <v>1711</v>
      </c>
      <c r="E136" s="265">
        <v>12871</v>
      </c>
      <c r="F136" s="265">
        <v>12582</v>
      </c>
      <c r="G136" s="269">
        <f t="shared" ref="G136:G138" si="20">IFERROR(F136/E136-1,"-")</f>
        <v>-2.2453577810581882E-2</v>
      </c>
      <c r="H136" s="265">
        <f t="shared" si="14"/>
        <v>-289</v>
      </c>
      <c r="I136" s="273">
        <f t="shared" ref="I136:I138" si="21">F136/F$134</f>
        <v>0.18813642956472329</v>
      </c>
      <c r="J136" s="265">
        <v>10231</v>
      </c>
      <c r="K136" s="271">
        <f t="shared" si="15"/>
        <v>0.15884179475236765</v>
      </c>
      <c r="L136" s="273">
        <f t="shared" si="16"/>
        <v>-0.18685423621045938</v>
      </c>
      <c r="M136" s="272">
        <f t="shared" si="17"/>
        <v>-2351</v>
      </c>
      <c r="N136" s="271">
        <f t="shared" si="18"/>
        <v>4.9795441262419642</v>
      </c>
      <c r="O136" s="265">
        <f t="shared" si="19"/>
        <v>8520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17480</v>
      </c>
      <c r="D137" s="265">
        <v>29046</v>
      </c>
      <c r="E137" s="265">
        <v>51539</v>
      </c>
      <c r="F137" s="265">
        <v>39447</v>
      </c>
      <c r="G137" s="267">
        <f t="shared" si="20"/>
        <v>-0.23461844428491041</v>
      </c>
      <c r="H137" s="265">
        <f t="shared" si="14"/>
        <v>-12092</v>
      </c>
      <c r="I137" s="277">
        <f t="shared" si="21"/>
        <v>0.58984404204734064</v>
      </c>
      <c r="J137" s="265">
        <v>39170</v>
      </c>
      <c r="K137" s="271">
        <f t="shared" si="15"/>
        <v>0.60813538270454903</v>
      </c>
      <c r="L137" s="273">
        <f t="shared" si="16"/>
        <v>-7.0220802595888365E-3</v>
      </c>
      <c r="M137" s="272">
        <f t="shared" si="17"/>
        <v>-277</v>
      </c>
      <c r="N137" s="271">
        <f t="shared" si="18"/>
        <v>0.34855057495007924</v>
      </c>
      <c r="O137" s="265">
        <f t="shared" si="19"/>
        <v>10124</v>
      </c>
      <c r="Q137" s="29"/>
      <c r="R137" s="81"/>
      <c r="Z137" s="1"/>
    </row>
    <row r="138" spans="1:31" s="4" customFormat="1" x14ac:dyDescent="0.25">
      <c r="B138" s="258" t="s">
        <v>199</v>
      </c>
      <c r="C138" s="259">
        <v>6019</v>
      </c>
      <c r="D138" s="259">
        <v>9229</v>
      </c>
      <c r="E138" s="259">
        <v>11447</v>
      </c>
      <c r="F138" s="259">
        <v>14848</v>
      </c>
      <c r="G138" s="263">
        <f t="shared" si="20"/>
        <v>0.29710841268454624</v>
      </c>
      <c r="H138" s="259">
        <f t="shared" si="14"/>
        <v>3401</v>
      </c>
      <c r="I138" s="261">
        <f t="shared" si="21"/>
        <v>0.22201952838793607</v>
      </c>
      <c r="J138" s="259">
        <v>15009</v>
      </c>
      <c r="K138" s="260">
        <f t="shared" si="15"/>
        <v>0.23302282254308337</v>
      </c>
      <c r="L138" s="261">
        <f t="shared" si="16"/>
        <v>1.0843211206896575E-2</v>
      </c>
      <c r="M138" s="262">
        <f t="shared" si="17"/>
        <v>161</v>
      </c>
      <c r="N138" s="260">
        <f t="shared" si="18"/>
        <v>0.6262867049517824</v>
      </c>
      <c r="O138" s="259">
        <f t="shared" si="19"/>
        <v>5780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188</v>
      </c>
    </row>
    <row r="140" spans="1:31" s="4" customFormat="1" ht="32.25" customHeight="1" x14ac:dyDescent="0.25">
      <c r="B140" s="321" t="s">
        <v>202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190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D1F6E-2ED4-470E-B29B-23242DC68177}">
  <sheetPr>
    <tabColor theme="4" tint="0.39997558519241921"/>
  </sheetPr>
  <dimension ref="A1:AE142"/>
  <sheetViews>
    <sheetView showGridLines="0" zoomScaleNormal="100" workbookViewId="0">
      <selection activeCell="H9" sqref="H9"/>
    </sheetView>
  </sheetViews>
  <sheetFormatPr baseColWidth="10" defaultRowHeight="15" x14ac:dyDescent="0.25"/>
  <cols>
    <col min="1" max="1" width="17.7109375" customWidth="1"/>
    <col min="2" max="2" width="33.5703125" customWidth="1"/>
    <col min="3" max="20" width="12.42578125" customWidth="1"/>
    <col min="27" max="27" width="14" hidden="1" customWidth="1"/>
    <col min="31" max="31" width="11.42578125" style="1"/>
  </cols>
  <sheetData>
    <row r="1" spans="1:31" ht="30" customHeight="1" x14ac:dyDescent="0.25">
      <c r="B1" s="1" t="s">
        <v>196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324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267</v>
      </c>
      <c r="D5" s="254" t="s">
        <v>268</v>
      </c>
      <c r="E5" s="254" t="s">
        <v>269</v>
      </c>
      <c r="F5" s="255" t="str">
        <f>CONCATENATE("%/s total Tenerife ",RIGHT(E5,4))</f>
        <v>%/s total Tenerife 2022</v>
      </c>
      <c r="G5" s="254" t="s">
        <v>270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271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272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205</v>
      </c>
      <c r="C6" s="256">
        <v>23289</v>
      </c>
      <c r="D6" s="256">
        <v>43482</v>
      </c>
      <c r="E6" s="256">
        <v>48094</v>
      </c>
      <c r="F6" s="257">
        <f>E6/$E$6</f>
        <v>1</v>
      </c>
      <c r="G6" s="256">
        <v>52610</v>
      </c>
      <c r="H6" s="257">
        <f>G6/E6-1</f>
        <v>9.3899446916455354E-2</v>
      </c>
      <c r="I6" s="256">
        <f>G6-E6</f>
        <v>4516</v>
      </c>
      <c r="J6" s="257">
        <f>G6/$G$6</f>
        <v>1</v>
      </c>
      <c r="K6" s="256">
        <v>50222</v>
      </c>
      <c r="L6" s="257">
        <f t="shared" ref="L6:L12" si="0">K6/G6-1</f>
        <v>-4.5390610150161548E-2</v>
      </c>
      <c r="M6" s="256">
        <f t="shared" ref="M6:M12" si="1">K6-G6</f>
        <v>-2388</v>
      </c>
      <c r="N6" s="257">
        <f>K6/$K$6</f>
        <v>1</v>
      </c>
      <c r="O6" s="256">
        <v>51408</v>
      </c>
      <c r="P6" s="257">
        <f t="shared" ref="P6:P11" si="2">O6/K6-1</f>
        <v>2.3615148739596137E-2</v>
      </c>
      <c r="Q6" s="256">
        <f t="shared" ref="Q6:Q12" si="3">O6-K6</f>
        <v>1186</v>
      </c>
      <c r="R6" s="257">
        <f>O6/C6-1</f>
        <v>1.2073940486925157</v>
      </c>
      <c r="S6" s="256">
        <f>O6-C6</f>
        <v>28119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58" t="s">
        <v>198</v>
      </c>
      <c r="C7" s="259">
        <v>3617</v>
      </c>
      <c r="D7" s="259">
        <v>9077</v>
      </c>
      <c r="E7" s="259">
        <v>18678</v>
      </c>
      <c r="F7" s="260">
        <f t="shared" ref="F7:F12" si="4">E7/$E$6</f>
        <v>0.38836445294631344</v>
      </c>
      <c r="G7" s="259">
        <v>29633</v>
      </c>
      <c r="H7" s="261">
        <f>G7/E7-1</f>
        <v>0.5865188992397472</v>
      </c>
      <c r="I7" s="262">
        <f>G7-E7</f>
        <v>10955</v>
      </c>
      <c r="J7" s="260">
        <f>G7/$G$6</f>
        <v>0.56325793575365901</v>
      </c>
      <c r="K7" s="259">
        <v>31378</v>
      </c>
      <c r="L7" s="263">
        <f t="shared" si="0"/>
        <v>5.8887051597880768E-2</v>
      </c>
      <c r="M7" s="264">
        <f t="shared" si="1"/>
        <v>1745</v>
      </c>
      <c r="N7" s="260">
        <f>K7/$K$6</f>
        <v>0.62478595038031137</v>
      </c>
      <c r="O7" s="259">
        <v>29839</v>
      </c>
      <c r="P7" s="261">
        <f t="shared" si="2"/>
        <v>-4.9047103065842257E-2</v>
      </c>
      <c r="Q7" s="262">
        <f t="shared" si="3"/>
        <v>-1539</v>
      </c>
      <c r="R7" s="261">
        <f t="shared" ref="R7:R10" si="5">O7/C7-1</f>
        <v>7.2496544097318214</v>
      </c>
      <c r="S7" s="262">
        <f t="shared" ref="S7:S10" si="6">O7-C7</f>
        <v>26222</v>
      </c>
      <c r="T7" s="260">
        <f>O7/$O$6</f>
        <v>0.58043495175848114</v>
      </c>
      <c r="V7" s="29"/>
      <c r="W7" s="81"/>
      <c r="AE7" s="1" t="s">
        <v>183</v>
      </c>
    </row>
    <row r="8" spans="1:31" s="4" customFormat="1" x14ac:dyDescent="0.25">
      <c r="B8" s="99" t="s">
        <v>65</v>
      </c>
      <c r="C8" s="265">
        <v>1992</v>
      </c>
      <c r="D8" s="265">
        <v>4351</v>
      </c>
      <c r="E8" s="265">
        <v>9363</v>
      </c>
      <c r="F8" s="266">
        <f t="shared" si="4"/>
        <v>0.19468124922027696</v>
      </c>
      <c r="G8" s="265">
        <v>15617</v>
      </c>
      <c r="H8" s="267">
        <f>IFERROR(G8/E8-1,"-")</f>
        <v>0.66794830716650644</v>
      </c>
      <c r="I8" s="268">
        <f t="shared" ref="I8:I12" si="7">G8-E8</f>
        <v>6254</v>
      </c>
      <c r="J8" s="266">
        <f t="shared" ref="J8:J12" si="8">G8/$G$6</f>
        <v>0.29684470632959514</v>
      </c>
      <c r="K8" s="265">
        <v>21291</v>
      </c>
      <c r="L8" s="269">
        <f>IFERROR(K8/G8-1,"-")</f>
        <v>0.3633220208746879</v>
      </c>
      <c r="M8" s="270">
        <f>IF(G8=0,"nd",K8-G8)</f>
        <v>5674</v>
      </c>
      <c r="N8" s="271">
        <f t="shared" ref="N8:N12" si="9">K8/$K$6</f>
        <v>0.42393771653856877</v>
      </c>
      <c r="O8" s="265">
        <v>11825</v>
      </c>
      <c r="P8" s="269">
        <f>IFERROR(O8/K8-1,"-")</f>
        <v>-0.44460100511953404</v>
      </c>
      <c r="Q8" s="272">
        <f t="shared" si="3"/>
        <v>-9466</v>
      </c>
      <c r="R8" s="269">
        <f>IFERROR(O8/C8-1,"-")</f>
        <v>4.936244979919679</v>
      </c>
      <c r="S8" s="272">
        <f t="shared" si="6"/>
        <v>9833</v>
      </c>
      <c r="T8" s="271">
        <f t="shared" ref="T8:T12" si="10">O8/$O$6</f>
        <v>0.23002256458138812</v>
      </c>
      <c r="V8" s="29"/>
      <c r="W8" s="81"/>
      <c r="AE8" s="1"/>
    </row>
    <row r="9" spans="1:31" s="4" customFormat="1" x14ac:dyDescent="0.25">
      <c r="B9" s="99" t="s">
        <v>64</v>
      </c>
      <c r="C9" s="265">
        <v>1625</v>
      </c>
      <c r="D9" s="265">
        <v>4726</v>
      </c>
      <c r="E9" s="265">
        <v>9315</v>
      </c>
      <c r="F9" s="271">
        <f t="shared" si="4"/>
        <v>0.19368320372603651</v>
      </c>
      <c r="G9" s="265">
        <v>14016</v>
      </c>
      <c r="H9" s="267">
        <f>IFERROR(G9/E9-1,"-")</f>
        <v>0.50466988727858286</v>
      </c>
      <c r="I9" s="272">
        <f t="shared" si="7"/>
        <v>4701</v>
      </c>
      <c r="J9" s="271">
        <f t="shared" si="8"/>
        <v>0.26641322942406387</v>
      </c>
      <c r="K9" s="265">
        <v>10087</v>
      </c>
      <c r="L9" s="269">
        <f>IFERROR(K9/G9-1,"-")</f>
        <v>-0.28032248858447484</v>
      </c>
      <c r="M9" s="270">
        <f>IF(G9=0,"nd",K9-G9)</f>
        <v>-3929</v>
      </c>
      <c r="N9" s="271">
        <f t="shared" si="9"/>
        <v>0.20084823384174266</v>
      </c>
      <c r="O9" s="265">
        <v>18014</v>
      </c>
      <c r="P9" s="269">
        <f t="shared" si="2"/>
        <v>0.78586299196986209</v>
      </c>
      <c r="Q9" s="272">
        <f t="shared" si="3"/>
        <v>7927</v>
      </c>
      <c r="R9" s="273">
        <f t="shared" si="5"/>
        <v>10.085538461538462</v>
      </c>
      <c r="S9" s="272">
        <f t="shared" si="6"/>
        <v>16389</v>
      </c>
      <c r="T9" s="271">
        <f t="shared" si="10"/>
        <v>0.35041238717709305</v>
      </c>
      <c r="V9" s="29"/>
      <c r="W9" s="81"/>
      <c r="AE9" s="1"/>
    </row>
    <row r="10" spans="1:31" s="4" customFormat="1" x14ac:dyDescent="0.25">
      <c r="B10" s="258" t="s">
        <v>199</v>
      </c>
      <c r="C10" s="274">
        <v>19672</v>
      </c>
      <c r="D10" s="274">
        <v>34405</v>
      </c>
      <c r="E10" s="274">
        <v>29416</v>
      </c>
      <c r="F10" s="275">
        <f>IFERROR(E10/$E$6,"-")</f>
        <v>0.6116355470536865</v>
      </c>
      <c r="G10" s="274">
        <v>22977</v>
      </c>
      <c r="H10" s="263">
        <f>IFERROR(G10/E10-1,"-")</f>
        <v>-0.21889447919499594</v>
      </c>
      <c r="I10" s="264">
        <f>IFERROR(G10-E10,"-")</f>
        <v>-6439</v>
      </c>
      <c r="J10" s="275">
        <f>IFERROR(G10/$G$6,"-")</f>
        <v>0.43674206424634099</v>
      </c>
      <c r="K10" s="274">
        <v>18844</v>
      </c>
      <c r="L10" s="263">
        <f>IFERROR(K10/G10-1,"-")</f>
        <v>-0.17987552770161463</v>
      </c>
      <c r="M10" s="264">
        <f>IFERROR(K10-G10,"-")</f>
        <v>-4133</v>
      </c>
      <c r="N10" s="275">
        <f>IFERROR(K10/$K$6,"-")</f>
        <v>0.37521404961968857</v>
      </c>
      <c r="O10" s="274">
        <v>21569</v>
      </c>
      <c r="P10" s="263">
        <f>IFERROR(O10/K10-1,"-")</f>
        <v>0.14460836340479721</v>
      </c>
      <c r="Q10" s="264">
        <f>IFERROR(O10-K10,"-")</f>
        <v>2725</v>
      </c>
      <c r="R10" s="263">
        <f t="shared" si="5"/>
        <v>9.6431476209841493E-2</v>
      </c>
      <c r="S10" s="264">
        <f t="shared" si="6"/>
        <v>1897</v>
      </c>
      <c r="T10" s="275">
        <f>IFERROR(O10/$O$6,"-")</f>
        <v>0.41956504824151886</v>
      </c>
      <c r="V10" s="29"/>
      <c r="W10" s="81"/>
      <c r="AE10" s="1"/>
    </row>
    <row r="11" spans="1:31" s="4" customFormat="1" hidden="1" x14ac:dyDescent="0.25">
      <c r="B11" s="99" t="s">
        <v>65</v>
      </c>
      <c r="C11" s="265">
        <v>11780</v>
      </c>
      <c r="D11" s="265">
        <v>15642</v>
      </c>
      <c r="E11" s="265">
        <v>24048</v>
      </c>
      <c r="F11" s="271">
        <f t="shared" si="4"/>
        <v>0.50002079261446331</v>
      </c>
      <c r="G11" s="265">
        <v>19759</v>
      </c>
      <c r="H11" s="273">
        <f t="shared" ref="H11:H12" si="11">G11/E11-1</f>
        <v>-0.178351630073187</v>
      </c>
      <c r="I11" s="272">
        <f t="shared" si="7"/>
        <v>-4289</v>
      </c>
      <c r="J11" s="271">
        <f t="shared" si="8"/>
        <v>0.3755749857441551</v>
      </c>
      <c r="K11" s="265">
        <v>16334</v>
      </c>
      <c r="L11" s="269">
        <f>K11/G11-1</f>
        <v>-0.17333873171719216</v>
      </c>
      <c r="M11" s="272">
        <f t="shared" si="1"/>
        <v>-3425</v>
      </c>
      <c r="N11" s="271">
        <f t="shared" si="9"/>
        <v>0.32523595237147068</v>
      </c>
      <c r="O11" s="265">
        <v>19164</v>
      </c>
      <c r="P11" s="273">
        <f t="shared" si="2"/>
        <v>0.17325823435778132</v>
      </c>
      <c r="Q11" s="272">
        <f t="shared" si="3"/>
        <v>2830</v>
      </c>
      <c r="R11" s="273">
        <f t="shared" ref="R11:R12" si="12">O11/D11-1</f>
        <v>0.225163022631377</v>
      </c>
      <c r="S11" s="272">
        <f t="shared" ref="S11:S12" si="13">O11-D11</f>
        <v>3522</v>
      </c>
      <c r="T11" s="271">
        <f t="shared" si="10"/>
        <v>0.37278244631185808</v>
      </c>
      <c r="V11" s="29"/>
      <c r="W11" s="81"/>
      <c r="AE11" s="1"/>
    </row>
    <row r="12" spans="1:31" s="4" customFormat="1" hidden="1" x14ac:dyDescent="0.25">
      <c r="B12" s="99" t="s">
        <v>64</v>
      </c>
      <c r="C12" s="265">
        <v>7892</v>
      </c>
      <c r="D12" s="265">
        <v>6063</v>
      </c>
      <c r="E12" s="265">
        <v>5368</v>
      </c>
      <c r="F12" s="271">
        <f t="shared" si="4"/>
        <v>0.11161475443922318</v>
      </c>
      <c r="G12" s="265">
        <v>3218</v>
      </c>
      <c r="H12" s="273">
        <f t="shared" si="11"/>
        <v>-0.40052160953800298</v>
      </c>
      <c r="I12" s="272">
        <f t="shared" si="7"/>
        <v>-2150</v>
      </c>
      <c r="J12" s="271">
        <f t="shared" si="8"/>
        <v>6.1167078502185897E-2</v>
      </c>
      <c r="K12" s="265">
        <v>2510</v>
      </c>
      <c r="L12" s="269">
        <f t="shared" si="0"/>
        <v>-0.22001243008079552</v>
      </c>
      <c r="M12" s="272">
        <f t="shared" si="1"/>
        <v>-708</v>
      </c>
      <c r="N12" s="271">
        <f t="shared" si="9"/>
        <v>4.9978097248217911E-2</v>
      </c>
      <c r="O12" s="265">
        <v>2405</v>
      </c>
      <c r="P12" s="273">
        <f>O12/K12-1</f>
        <v>-4.1832669322709126E-2</v>
      </c>
      <c r="Q12" s="272">
        <f t="shared" si="3"/>
        <v>-105</v>
      </c>
      <c r="R12" s="273">
        <f t="shared" si="12"/>
        <v>-0.60333168398482595</v>
      </c>
      <c r="S12" s="272">
        <f t="shared" si="13"/>
        <v>-3658</v>
      </c>
      <c r="T12" s="271">
        <f t="shared" si="10"/>
        <v>4.6782601929660751E-2</v>
      </c>
      <c r="V12" s="29"/>
      <c r="W12" s="81"/>
      <c r="AE12" s="1"/>
    </row>
    <row r="13" spans="1:31" s="4" customFormat="1" ht="7.5" customHeight="1" x14ac:dyDescent="0.25"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76"/>
      <c r="M13" s="249"/>
      <c r="N13" s="249"/>
      <c r="O13" s="249"/>
      <c r="P13" s="249"/>
      <c r="Q13" s="249"/>
      <c r="R13" s="249"/>
      <c r="S13" s="249"/>
      <c r="T13" s="249"/>
      <c r="AE13" s="1" t="s">
        <v>188</v>
      </c>
    </row>
    <row r="14" spans="1:31" s="4" customFormat="1" x14ac:dyDescent="0.25">
      <c r="B14" s="173" t="s">
        <v>189</v>
      </c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AE14" s="1" t="s">
        <v>190</v>
      </c>
    </row>
    <row r="15" spans="1:31" s="4" customFormat="1" x14ac:dyDescent="0.25">
      <c r="AE15" s="1"/>
    </row>
    <row r="19" spans="2:27" x14ac:dyDescent="0.25">
      <c r="AA19" t="str">
        <f>CONCATENATE("Hoteles: 
",FIXED(O7,0)," viajeros 
cuota: ",FIXED(T7*100,1),"%")</f>
        <v>Hoteles: 
29.839 viajeros 
cuota: 58,0%</v>
      </c>
    </row>
    <row r="20" spans="2:27" x14ac:dyDescent="0.25">
      <c r="AA20" t="str">
        <f>CONCATENATE("Apartamentos: 
",FIXED(O10,0)," viajeros
cuota: ",FIXED(T10*100,1),"%")</f>
        <v>Apartamentos: 
21.569 viajeros
cuota: 42,0%</v>
      </c>
    </row>
    <row r="25" spans="2:27" x14ac:dyDescent="0.25">
      <c r="B25" t="s">
        <v>12</v>
      </c>
    </row>
    <row r="38" spans="2:31" s="4" customFormat="1" ht="15.75" hidden="1" customHeight="1" thickBot="1" x14ac:dyDescent="0.3">
      <c r="B38" s="283" t="s">
        <v>191</v>
      </c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85"/>
      <c r="AE38" s="1"/>
    </row>
    <row r="39" spans="2:31" s="4" customFormat="1" ht="6" hidden="1" customHeight="1" thickBot="1" x14ac:dyDescent="0.3">
      <c r="AE39" s="1"/>
    </row>
    <row r="40" spans="2:31" s="4" customFormat="1" ht="30" hidden="1" x14ac:dyDescent="0.25">
      <c r="C40" s="89"/>
      <c r="D40" s="89"/>
      <c r="E40" s="89"/>
      <c r="F40" s="89"/>
      <c r="G40" s="89"/>
      <c r="H40" s="89"/>
      <c r="I40" s="89"/>
      <c r="J40" s="89"/>
      <c r="K40" s="14">
        <v>2020</v>
      </c>
      <c r="L40" s="14"/>
      <c r="M40" s="14"/>
      <c r="N40" s="14" t="s">
        <v>192</v>
      </c>
      <c r="O40" s="14">
        <v>2021</v>
      </c>
      <c r="P40" s="14" t="s">
        <v>192</v>
      </c>
      <c r="Q40" s="14" t="s">
        <v>193</v>
      </c>
      <c r="R40" s="14" t="s">
        <v>194</v>
      </c>
      <c r="S40" s="14" t="s">
        <v>195</v>
      </c>
      <c r="T40" s="89"/>
      <c r="AE40" s="1"/>
    </row>
    <row r="41" spans="2:31" s="4" customFormat="1" ht="18.75" hidden="1" x14ac:dyDescent="0.3">
      <c r="B41" s="237" t="s">
        <v>179</v>
      </c>
      <c r="C41" s="238"/>
      <c r="D41" s="238"/>
      <c r="E41" s="238"/>
      <c r="F41" s="238"/>
      <c r="G41" s="238"/>
      <c r="H41" s="238"/>
      <c r="I41" s="238"/>
      <c r="J41" s="238"/>
      <c r="K41" s="238">
        <v>1824653</v>
      </c>
      <c r="L41" s="238"/>
      <c r="M41" s="238"/>
      <c r="N41" s="239"/>
      <c r="O41" s="238">
        <v>2354005</v>
      </c>
      <c r="P41" s="239"/>
      <c r="Q41" s="239">
        <v>1</v>
      </c>
      <c r="R41" s="239">
        <v>0.2901110512519367</v>
      </c>
      <c r="S41" s="238">
        <v>529352</v>
      </c>
      <c r="T41" s="250"/>
      <c r="AE41" s="1"/>
    </row>
    <row r="42" spans="2:31" ht="18.75" hidden="1" x14ac:dyDescent="0.3">
      <c r="B42" s="237" t="s">
        <v>180</v>
      </c>
      <c r="C42" s="238"/>
      <c r="D42" s="238"/>
      <c r="E42" s="238"/>
      <c r="F42" s="238"/>
      <c r="G42" s="238"/>
      <c r="H42" s="238"/>
      <c r="I42" s="238"/>
      <c r="J42" s="238"/>
      <c r="K42" s="238">
        <v>603938</v>
      </c>
      <c r="L42" s="238"/>
      <c r="M42" s="238"/>
      <c r="N42" s="239">
        <v>1</v>
      </c>
      <c r="O42" s="238">
        <v>936181</v>
      </c>
      <c r="P42" s="239">
        <v>1</v>
      </c>
      <c r="Q42" s="239">
        <v>0.39769711619134201</v>
      </c>
      <c r="R42" s="239">
        <v>0.55012766211101138</v>
      </c>
      <c r="S42" s="238">
        <v>332243</v>
      </c>
      <c r="T42" s="250"/>
      <c r="AE42" s="1" t="s">
        <v>181</v>
      </c>
    </row>
    <row r="43" spans="2:31" ht="15.75" hidden="1" x14ac:dyDescent="0.25">
      <c r="B43" s="240" t="s">
        <v>103</v>
      </c>
      <c r="C43" s="241"/>
      <c r="D43" s="241"/>
      <c r="E43" s="241"/>
      <c r="F43" s="241"/>
      <c r="G43" s="241"/>
      <c r="H43" s="241"/>
      <c r="I43" s="241"/>
      <c r="J43" s="241"/>
      <c r="K43" s="241">
        <v>276550.36166633503</v>
      </c>
      <c r="L43" s="241"/>
      <c r="M43" s="241"/>
      <c r="N43" s="242">
        <v>0.45791184139155844</v>
      </c>
      <c r="O43" s="241">
        <v>430252.45635520399</v>
      </c>
      <c r="P43" s="242">
        <v>0.4595825554622493</v>
      </c>
      <c r="Q43" s="242">
        <v>0.18277465695918402</v>
      </c>
      <c r="R43" s="242">
        <v>0.55578337978930015</v>
      </c>
      <c r="S43" s="241">
        <v>153702.09468886897</v>
      </c>
      <c r="T43" s="251"/>
      <c r="AE43" s="1" t="s">
        <v>182</v>
      </c>
    </row>
    <row r="44" spans="2:31" s="4" customFormat="1" hidden="1" x14ac:dyDescent="0.25">
      <c r="B44" s="243" t="s">
        <v>106</v>
      </c>
      <c r="C44" s="244"/>
      <c r="D44" s="244"/>
      <c r="E44" s="244"/>
      <c r="F44" s="244"/>
      <c r="G44" s="244"/>
      <c r="H44" s="244"/>
      <c r="I44" s="244"/>
      <c r="J44" s="244"/>
      <c r="K44" s="244">
        <v>327387.63833385095</v>
      </c>
      <c r="L44" s="244"/>
      <c r="M44" s="244"/>
      <c r="N44" s="247">
        <v>0.54208815860874948</v>
      </c>
      <c r="O44" s="244">
        <v>505927.5436448183</v>
      </c>
      <c r="P44" s="247">
        <v>0.54041637636826456</v>
      </c>
      <c r="Q44" s="247">
        <v>0.21492203442423372</v>
      </c>
      <c r="R44" s="245">
        <v>0.54534711884540576</v>
      </c>
      <c r="S44" s="246">
        <v>178539.90531096736</v>
      </c>
      <c r="T44" s="253"/>
      <c r="AE44" s="1" t="s">
        <v>183</v>
      </c>
    </row>
    <row r="45" spans="2:31" s="4" customFormat="1" hidden="1" x14ac:dyDescent="0.25">
      <c r="B45" s="248" t="s">
        <v>184</v>
      </c>
      <c r="C45" s="29"/>
      <c r="D45" s="29"/>
      <c r="E45" s="29"/>
      <c r="F45" s="29"/>
      <c r="G45" s="29"/>
      <c r="H45" s="29"/>
      <c r="I45" s="29"/>
      <c r="J45" s="29"/>
      <c r="K45" s="29">
        <v>242109.12821622068</v>
      </c>
      <c r="L45" s="29"/>
      <c r="M45" s="29"/>
      <c r="N45" s="31">
        <v>0.4008840778626625</v>
      </c>
      <c r="O45" s="29">
        <v>391384.01224089495</v>
      </c>
      <c r="P45" s="31">
        <v>0.41806446855992052</v>
      </c>
      <c r="Q45" s="31">
        <v>0.16626303352834634</v>
      </c>
      <c r="R45" s="22">
        <v>0.61656033014732592</v>
      </c>
      <c r="S45" s="20">
        <v>149274.88402467428</v>
      </c>
      <c r="T45" s="20"/>
      <c r="AE45" s="1" t="s">
        <v>185</v>
      </c>
    </row>
    <row r="46" spans="2:31" s="4" customFormat="1" hidden="1" x14ac:dyDescent="0.25">
      <c r="B46" s="248" t="s">
        <v>186</v>
      </c>
      <c r="C46" s="29"/>
      <c r="D46" s="29"/>
      <c r="E46" s="29"/>
      <c r="F46" s="29"/>
      <c r="G46" s="29"/>
      <c r="H46" s="29"/>
      <c r="I46" s="29"/>
      <c r="J46" s="29"/>
      <c r="K46" s="29">
        <v>85278.510117630256</v>
      </c>
      <c r="L46" s="29"/>
      <c r="M46" s="29"/>
      <c r="N46" s="31">
        <v>0.14120408074608695</v>
      </c>
      <c r="O46" s="29">
        <v>114543.53140392336</v>
      </c>
      <c r="P46" s="31">
        <v>0.12235190780834407</v>
      </c>
      <c r="Q46" s="31">
        <v>4.8659000895887379E-2</v>
      </c>
      <c r="R46" s="22">
        <v>0.34316994100771625</v>
      </c>
      <c r="S46" s="20">
        <v>29265.021286293108</v>
      </c>
      <c r="T46" s="20"/>
      <c r="AE46" s="1" t="s">
        <v>187</v>
      </c>
    </row>
    <row r="47" spans="2:31" s="4" customFormat="1" ht="7.5" hidden="1" customHeight="1" x14ac:dyDescent="0.25"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AE47" s="1" t="s">
        <v>188</v>
      </c>
    </row>
    <row r="48" spans="2:31" s="4" customFormat="1" hidden="1" x14ac:dyDescent="0.25">
      <c r="B48" s="282" t="s">
        <v>189</v>
      </c>
      <c r="C48" s="282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  <c r="Q48" s="282"/>
      <c r="R48" s="282"/>
      <c r="S48" s="282"/>
      <c r="T48" s="50"/>
      <c r="AE48" s="1" t="s">
        <v>190</v>
      </c>
    </row>
    <row r="49" spans="3:31" s="4" customFormat="1" hidden="1" x14ac:dyDescent="0.25">
      <c r="AE49" s="1"/>
    </row>
    <row r="50" spans="3:31" hidden="1" x14ac:dyDescent="0.25">
      <c r="C50" s="127"/>
      <c r="D50" s="127"/>
      <c r="E50" s="127"/>
      <c r="F50" s="127"/>
      <c r="G50" s="127"/>
      <c r="H50" s="127"/>
      <c r="I50" s="127"/>
      <c r="J50" s="127"/>
      <c r="K50" s="127">
        <v>0.54208815860874948</v>
      </c>
      <c r="L50" s="127"/>
      <c r="M50" s="127"/>
    </row>
    <row r="51" spans="3:31" hidden="1" x14ac:dyDescent="0.25"/>
    <row r="52" spans="3:31" hidden="1" x14ac:dyDescent="0.25"/>
    <row r="53" spans="3:31" hidden="1" x14ac:dyDescent="0.25"/>
    <row r="54" spans="3:31" hidden="1" x14ac:dyDescent="0.25"/>
    <row r="55" spans="3:31" hidden="1" x14ac:dyDescent="0.25"/>
    <row r="56" spans="3:31" hidden="1" x14ac:dyDescent="0.25"/>
    <row r="57" spans="3:31" hidden="1" x14ac:dyDescent="0.25"/>
    <row r="58" spans="3:31" hidden="1" x14ac:dyDescent="0.25"/>
    <row r="59" spans="3:31" hidden="1" x14ac:dyDescent="0.25"/>
    <row r="60" spans="3:31" hidden="1" x14ac:dyDescent="0.25"/>
    <row r="61" spans="3:31" hidden="1" x14ac:dyDescent="0.25"/>
    <row r="62" spans="3:31" hidden="1" x14ac:dyDescent="0.25"/>
    <row r="63" spans="3:31" hidden="1" x14ac:dyDescent="0.25"/>
    <row r="64" spans="3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31" spans="1:31" s="4" customFormat="1" ht="25.5" customHeight="1" thickBot="1" x14ac:dyDescent="0.3">
      <c r="B131" s="64" t="s">
        <v>206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Z131" s="1"/>
    </row>
    <row r="132" spans="1:31" s="4" customFormat="1" ht="6" customHeight="1" x14ac:dyDescent="0.25">
      <c r="Z132" s="1"/>
    </row>
    <row r="133" spans="1:31" s="4" customFormat="1" ht="45" x14ac:dyDescent="0.25">
      <c r="C133" s="187">
        <v>2020</v>
      </c>
      <c r="D133" s="187">
        <v>2021</v>
      </c>
      <c r="E133" s="187">
        <v>2022</v>
      </c>
      <c r="F133" s="187">
        <v>2023</v>
      </c>
      <c r="G133" s="175" t="str">
        <f>CONCATENATE("var. ",RIGHT(F133,2),"/",RIGHT(E133,2))</f>
        <v>var. 23/22</v>
      </c>
      <c r="H133" s="175" t="str">
        <f>CONCATENATE("dif. ",RIGHT(F133,2),"/",RIGHT(E133,2))</f>
        <v>dif. 23/22</v>
      </c>
      <c r="I133" s="255" t="str">
        <f>CONCATENATE("%/s total Tenerife ",RIGHT(F133,4))</f>
        <v>%/s total Tenerife 2023</v>
      </c>
      <c r="J133" s="187">
        <v>2024</v>
      </c>
      <c r="K133" s="255" t="str">
        <f>CONCATENATE("%/s total Tenerife ",RIGHT(J133,4))</f>
        <v>%/s total Tenerife 2024</v>
      </c>
      <c r="L133" s="175" t="str">
        <f>CONCATENATE("var. ",RIGHT(J133,2),"/",RIGHT(F133,2))</f>
        <v>var. 24/23</v>
      </c>
      <c r="M133" s="175" t="str">
        <f>CONCATENATE("dif. ",RIGHT(J133,2),"/",RIGHT(F133,2))</f>
        <v>dif. 24/23</v>
      </c>
      <c r="N133" s="175" t="str">
        <f>CONCATENATE("var. ",RIGHT(J133,2),"/",RIGHT(D133,2))</f>
        <v>var. 24/21</v>
      </c>
      <c r="O133" s="175" t="str">
        <f>CONCATENATE("dif. ",RIGHT(J133,2),"/",RIGHT(D133,2))</f>
        <v>dif. 24/21</v>
      </c>
      <c r="Z133" s="1"/>
    </row>
    <row r="134" spans="1:31" ht="18.75" x14ac:dyDescent="0.3">
      <c r="A134" s="4"/>
      <c r="B134" s="237" t="s">
        <v>205</v>
      </c>
      <c r="C134" s="241">
        <v>24912</v>
      </c>
      <c r="D134" s="241">
        <v>43482</v>
      </c>
      <c r="E134" s="241">
        <v>48094</v>
      </c>
      <c r="F134" s="241">
        <v>52610</v>
      </c>
      <c r="G134" s="242">
        <f>F134/E134-1</f>
        <v>9.3899446916455354E-2</v>
      </c>
      <c r="H134" s="241">
        <f>F134-E134</f>
        <v>4516</v>
      </c>
      <c r="I134" s="242">
        <f>F134/F$134</f>
        <v>1</v>
      </c>
      <c r="J134" s="241">
        <v>50222</v>
      </c>
      <c r="K134" s="242">
        <f>J134/J$134</f>
        <v>1</v>
      </c>
      <c r="L134" s="242">
        <f>J134/F134-1</f>
        <v>-4.5390610150161548E-2</v>
      </c>
      <c r="M134" s="241">
        <f>J134-F134</f>
        <v>-2388</v>
      </c>
      <c r="N134" s="242">
        <f>J134/D134-1</f>
        <v>0.15500666942642938</v>
      </c>
      <c r="O134" s="241">
        <f>J134-D134</f>
        <v>6740</v>
      </c>
      <c r="Q134" s="29"/>
      <c r="R134" s="81"/>
      <c r="Z134" s="1" t="s">
        <v>181</v>
      </c>
      <c r="AE134"/>
    </row>
    <row r="135" spans="1:31" s="4" customFormat="1" x14ac:dyDescent="0.25">
      <c r="B135" s="258" t="s">
        <v>198</v>
      </c>
      <c r="C135" s="259">
        <v>3947</v>
      </c>
      <c r="D135" s="259">
        <v>9077</v>
      </c>
      <c r="E135" s="259">
        <v>18678</v>
      </c>
      <c r="F135" s="259">
        <v>29633</v>
      </c>
      <c r="G135" s="263">
        <f>IFERROR(F135/E135-1,"-")</f>
        <v>0.5865188992397472</v>
      </c>
      <c r="H135" s="259">
        <f t="shared" ref="H135:H138" si="14">F135-E135</f>
        <v>10955</v>
      </c>
      <c r="I135" s="261">
        <f>F135/F$134</f>
        <v>0.56325793575365901</v>
      </c>
      <c r="J135" s="259">
        <v>31378</v>
      </c>
      <c r="K135" s="260">
        <f t="shared" ref="K135:K138" si="15">J135/J$134</f>
        <v>0.62478595038031137</v>
      </c>
      <c r="L135" s="261">
        <f t="shared" ref="L135:L138" si="16">J135/F135-1</f>
        <v>5.8887051597880768E-2</v>
      </c>
      <c r="M135" s="262">
        <f t="shared" ref="M135:M138" si="17">J135-F135</f>
        <v>1745</v>
      </c>
      <c r="N135" s="260">
        <f t="shared" ref="N135:N138" si="18">J135/D135-1</f>
        <v>2.4568690095846644</v>
      </c>
      <c r="O135" s="259">
        <f t="shared" ref="O135:O138" si="19">J135-D135</f>
        <v>22301</v>
      </c>
      <c r="Q135" s="29"/>
      <c r="R135" s="81"/>
      <c r="Z135" s="1" t="s">
        <v>183</v>
      </c>
    </row>
    <row r="136" spans="1:31" s="4" customFormat="1" x14ac:dyDescent="0.25">
      <c r="B136" s="99" t="s">
        <v>65</v>
      </c>
      <c r="C136" s="265">
        <v>2180</v>
      </c>
      <c r="D136" s="265">
        <v>4351</v>
      </c>
      <c r="E136" s="265">
        <v>9363</v>
      </c>
      <c r="F136" s="265">
        <v>15617</v>
      </c>
      <c r="G136" s="269">
        <f t="shared" ref="G136:G138" si="20">IFERROR(F136/E136-1,"-")</f>
        <v>0.66794830716650644</v>
      </c>
      <c r="H136" s="265">
        <f t="shared" si="14"/>
        <v>6254</v>
      </c>
      <c r="I136" s="273">
        <f t="shared" ref="I136:I138" si="21">F136/F$134</f>
        <v>0.29684470632959514</v>
      </c>
      <c r="J136" s="265">
        <v>21291</v>
      </c>
      <c r="K136" s="271">
        <f t="shared" si="15"/>
        <v>0.42393771653856877</v>
      </c>
      <c r="L136" s="273">
        <f t="shared" si="16"/>
        <v>0.3633220208746879</v>
      </c>
      <c r="M136" s="272">
        <f t="shared" si="17"/>
        <v>5674</v>
      </c>
      <c r="N136" s="271">
        <f t="shared" si="18"/>
        <v>3.8933578487703979</v>
      </c>
      <c r="O136" s="265">
        <f t="shared" si="19"/>
        <v>16940</v>
      </c>
      <c r="Q136" s="29"/>
      <c r="R136" s="81"/>
      <c r="Z136" s="1"/>
    </row>
    <row r="137" spans="1:31" s="4" customFormat="1" x14ac:dyDescent="0.25">
      <c r="B137" s="99" t="s">
        <v>64</v>
      </c>
      <c r="C137" s="265">
        <v>1767</v>
      </c>
      <c r="D137" s="265">
        <v>4726</v>
      </c>
      <c r="E137" s="265">
        <v>9315</v>
      </c>
      <c r="F137" s="265">
        <v>14016</v>
      </c>
      <c r="G137" s="267">
        <f t="shared" si="20"/>
        <v>0.50466988727858286</v>
      </c>
      <c r="H137" s="265">
        <f t="shared" si="14"/>
        <v>4701</v>
      </c>
      <c r="I137" s="277">
        <f t="shared" si="21"/>
        <v>0.26641322942406387</v>
      </c>
      <c r="J137" s="265">
        <v>10087</v>
      </c>
      <c r="K137" s="271">
        <f t="shared" si="15"/>
        <v>0.20084823384174266</v>
      </c>
      <c r="L137" s="273">
        <f t="shared" si="16"/>
        <v>-0.28032248858447484</v>
      </c>
      <c r="M137" s="272">
        <f t="shared" si="17"/>
        <v>-3929</v>
      </c>
      <c r="N137" s="271">
        <f t="shared" si="18"/>
        <v>1.1343630977570887</v>
      </c>
      <c r="O137" s="265">
        <f t="shared" si="19"/>
        <v>5361</v>
      </c>
      <c r="Q137" s="29"/>
      <c r="R137" s="81"/>
      <c r="Z137" s="1"/>
    </row>
    <row r="138" spans="1:31" s="4" customFormat="1" x14ac:dyDescent="0.25">
      <c r="B138" s="258" t="s">
        <v>199</v>
      </c>
      <c r="C138" s="259">
        <v>20965</v>
      </c>
      <c r="D138" s="259">
        <v>34405</v>
      </c>
      <c r="E138" s="259">
        <v>29416</v>
      </c>
      <c r="F138" s="259">
        <v>22977</v>
      </c>
      <c r="G138" s="263">
        <f t="shared" si="20"/>
        <v>-0.21889447919499594</v>
      </c>
      <c r="H138" s="259">
        <f t="shared" si="14"/>
        <v>-6439</v>
      </c>
      <c r="I138" s="261">
        <f t="shared" si="21"/>
        <v>0.43674206424634099</v>
      </c>
      <c r="J138" s="259">
        <v>18844</v>
      </c>
      <c r="K138" s="260">
        <f t="shared" si="15"/>
        <v>0.37521404961968857</v>
      </c>
      <c r="L138" s="261">
        <f t="shared" si="16"/>
        <v>-0.17987552770161463</v>
      </c>
      <c r="M138" s="262">
        <f t="shared" si="17"/>
        <v>-4133</v>
      </c>
      <c r="N138" s="260">
        <f t="shared" si="18"/>
        <v>-0.45228891149542216</v>
      </c>
      <c r="O138" s="259">
        <f t="shared" si="19"/>
        <v>-15561</v>
      </c>
      <c r="Q138" s="29"/>
      <c r="R138" s="81"/>
      <c r="Z138" s="1"/>
    </row>
    <row r="139" spans="1:31" s="4" customFormat="1" ht="7.5" customHeight="1" x14ac:dyDescent="0.25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Z139" s="1" t="s">
        <v>188</v>
      </c>
    </row>
    <row r="140" spans="1:31" s="4" customFormat="1" ht="32.25" customHeight="1" x14ac:dyDescent="0.25">
      <c r="B140" s="321" t="s">
        <v>202</v>
      </c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Z140" s="1" t="s">
        <v>190</v>
      </c>
    </row>
    <row r="141" spans="1:31" x14ac:dyDescent="0.25">
      <c r="Z141" s="1"/>
      <c r="AE141"/>
    </row>
    <row r="142" spans="1:31" x14ac:dyDescent="0.25">
      <c r="Z142" s="1"/>
      <c r="AE142"/>
    </row>
  </sheetData>
  <mergeCells count="3">
    <mergeCell ref="B38:S38"/>
    <mergeCell ref="B48:S48"/>
    <mergeCell ref="B140:O14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3C9B6-4B05-4857-BD64-484D57A7E89C}">
  <sheetPr>
    <tabColor theme="4" tint="0.39997558519241921"/>
  </sheetPr>
  <dimension ref="A1:AE149"/>
  <sheetViews>
    <sheetView showGridLines="0" zoomScaleNormal="100" workbookViewId="0">
      <selection activeCell="H9" sqref="H9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207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267</v>
      </c>
      <c r="D5" s="254" t="s">
        <v>268</v>
      </c>
      <c r="E5" s="254" t="s">
        <v>269</v>
      </c>
      <c r="F5" s="255" t="str">
        <f>CONCATENATE("%/s total Tenerife ",RIGHT(E5,4))</f>
        <v>%/s total Tenerife 2022</v>
      </c>
      <c r="G5" s="254" t="s">
        <v>270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271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272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208</v>
      </c>
      <c r="C6" s="256">
        <v>456675</v>
      </c>
      <c r="D6" s="256">
        <v>800301</v>
      </c>
      <c r="E6" s="256">
        <v>1016781</v>
      </c>
      <c r="F6" s="257">
        <f>E6/$E$6</f>
        <v>1</v>
      </c>
      <c r="G6" s="256">
        <v>1042721</v>
      </c>
      <c r="H6" s="257">
        <f>G6/E6-1</f>
        <v>2.551188505686075E-2</v>
      </c>
      <c r="I6" s="256">
        <f>G6-E6</f>
        <v>25940</v>
      </c>
      <c r="J6" s="257">
        <f>G6/$G$6</f>
        <v>1</v>
      </c>
      <c r="K6" s="256">
        <v>1059034</v>
      </c>
      <c r="L6" s="257">
        <f>K6/G6-1</f>
        <v>1.56446451159995E-2</v>
      </c>
      <c r="M6" s="256">
        <f>K6-G6</f>
        <v>16313</v>
      </c>
      <c r="N6" s="257">
        <f>K6/$K$6</f>
        <v>1</v>
      </c>
      <c r="O6" s="256">
        <v>1068407</v>
      </c>
      <c r="P6" s="257">
        <f>O6/K6-1</f>
        <v>8.8505184913798551E-3</v>
      </c>
      <c r="Q6" s="256">
        <f>O6-K6</f>
        <v>9373</v>
      </c>
      <c r="R6" s="257">
        <f>IFERROR(O6/C6-1,"-")</f>
        <v>1.3395346800240873</v>
      </c>
      <c r="S6" s="256">
        <f>O6-C6</f>
        <v>611732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48" t="s">
        <v>47</v>
      </c>
      <c r="C7" s="265">
        <v>101575</v>
      </c>
      <c r="D7" s="265">
        <v>247584</v>
      </c>
      <c r="E7" s="265">
        <v>207208</v>
      </c>
      <c r="F7" s="271">
        <f t="shared" ref="F7:F16" si="0">E7/$E$6</f>
        <v>0.20378822971711705</v>
      </c>
      <c r="G7" s="265">
        <v>181700</v>
      </c>
      <c r="H7" s="273">
        <f>G7/E7-1</f>
        <v>-0.12310335508281534</v>
      </c>
      <c r="I7" s="272">
        <f>G7-E7</f>
        <v>-25508</v>
      </c>
      <c r="J7" s="271">
        <f>G7/$G$6</f>
        <v>0.17425562542616865</v>
      </c>
      <c r="K7" s="265">
        <v>161848</v>
      </c>
      <c r="L7" s="273">
        <f>K7/G7-1</f>
        <v>-0.1092570170610897</v>
      </c>
      <c r="M7" s="272">
        <f>K7-G7</f>
        <v>-19852</v>
      </c>
      <c r="N7" s="271">
        <f>K7/$K$6</f>
        <v>0.15282606601865473</v>
      </c>
      <c r="O7" s="265">
        <v>147955</v>
      </c>
      <c r="P7" s="273">
        <f>O7/K7-1</f>
        <v>-8.5839800306460434E-2</v>
      </c>
      <c r="Q7" s="272">
        <f>O7-K7</f>
        <v>-13893</v>
      </c>
      <c r="R7" s="273">
        <f t="shared" ref="R7:R16" si="1">IFERROR(O7/C7-1,"-")</f>
        <v>0.45660841742554759</v>
      </c>
      <c r="S7" s="272">
        <f t="shared" ref="S7:S16" si="2">O7-C7</f>
        <v>46380</v>
      </c>
      <c r="T7" s="271">
        <f>O7/$O$6</f>
        <v>0.13848187067288029</v>
      </c>
      <c r="V7" s="29"/>
      <c r="W7" s="81"/>
      <c r="AE7" s="1" t="s">
        <v>183</v>
      </c>
    </row>
    <row r="8" spans="1:31" s="4" customFormat="1" x14ac:dyDescent="0.25">
      <c r="B8" s="248" t="s">
        <v>48</v>
      </c>
      <c r="C8" s="265">
        <v>46908</v>
      </c>
      <c r="D8" s="265">
        <v>83468</v>
      </c>
      <c r="E8" s="265">
        <v>123951</v>
      </c>
      <c r="F8" s="271">
        <f t="shared" si="0"/>
        <v>0.12190530704251948</v>
      </c>
      <c r="G8" s="265">
        <v>119487</v>
      </c>
      <c r="H8" s="273">
        <f t="shared" ref="H8:H16" si="3">G8/E8-1</f>
        <v>-3.6014231430161914E-2</v>
      </c>
      <c r="I8" s="272">
        <f t="shared" ref="I8:I16" si="4">G8-E8</f>
        <v>-4464</v>
      </c>
      <c r="J8" s="271">
        <f t="shared" ref="J8:J16" si="5">G8/$G$6</f>
        <v>0.11459153503190211</v>
      </c>
      <c r="K8" s="265">
        <v>114632</v>
      </c>
      <c r="L8" s="273">
        <f t="shared" ref="L8:L16" si="6">K8/G8-1</f>
        <v>-4.063203528417314E-2</v>
      </c>
      <c r="M8" s="272">
        <f t="shared" ref="M8:M16" si="7">K8-G8</f>
        <v>-4855</v>
      </c>
      <c r="N8" s="271">
        <f t="shared" ref="N8:N16" si="8">K8/$K$6</f>
        <v>0.10824203944349284</v>
      </c>
      <c r="O8" s="265">
        <v>118257</v>
      </c>
      <c r="P8" s="273">
        <f t="shared" ref="P8:P16" si="9">O8/K8-1</f>
        <v>3.1622932514481228E-2</v>
      </c>
      <c r="Q8" s="272">
        <f t="shared" ref="Q8:Q16" si="10">O8-K8</f>
        <v>3625</v>
      </c>
      <c r="R8" s="273">
        <f t="shared" si="1"/>
        <v>1.5210411870043488</v>
      </c>
      <c r="S8" s="272">
        <f t="shared" si="2"/>
        <v>71349</v>
      </c>
      <c r="T8" s="271">
        <f t="shared" ref="T8:T16" si="11">O8/$O$6</f>
        <v>0.11068534743782098</v>
      </c>
      <c r="V8" s="29"/>
      <c r="W8" s="81"/>
      <c r="AE8" s="1"/>
    </row>
    <row r="9" spans="1:31" s="4" customFormat="1" x14ac:dyDescent="0.25">
      <c r="B9" s="248" t="s">
        <v>49</v>
      </c>
      <c r="C9" s="265">
        <v>2335</v>
      </c>
      <c r="D9" s="265">
        <v>4950</v>
      </c>
      <c r="E9" s="265">
        <v>6762</v>
      </c>
      <c r="F9" s="266">
        <f t="shared" si="0"/>
        <v>6.6503996435810665E-3</v>
      </c>
      <c r="G9" s="265">
        <v>20295</v>
      </c>
      <c r="H9" s="277">
        <f t="shared" si="3"/>
        <v>2.0013309671694763</v>
      </c>
      <c r="I9" s="268">
        <f t="shared" si="4"/>
        <v>13533</v>
      </c>
      <c r="J9" s="266">
        <f t="shared" si="5"/>
        <v>1.9463499824018123E-2</v>
      </c>
      <c r="K9" s="265">
        <v>11990</v>
      </c>
      <c r="L9" s="273">
        <f t="shared" si="6"/>
        <v>-0.40921409214092141</v>
      </c>
      <c r="M9" s="272">
        <f t="shared" si="7"/>
        <v>-8305</v>
      </c>
      <c r="N9" s="271">
        <f t="shared" si="8"/>
        <v>1.1321638398767179E-2</v>
      </c>
      <c r="O9" s="265">
        <v>10059</v>
      </c>
      <c r="P9" s="273">
        <f t="shared" si="9"/>
        <v>-0.16105087572977483</v>
      </c>
      <c r="Q9" s="272">
        <f t="shared" si="10"/>
        <v>-1931</v>
      </c>
      <c r="R9" s="273">
        <f t="shared" si="1"/>
        <v>3.3079229122055676</v>
      </c>
      <c r="S9" s="272">
        <f t="shared" si="2"/>
        <v>7724</v>
      </c>
      <c r="T9" s="271">
        <f t="shared" si="11"/>
        <v>9.4149514183265361E-3</v>
      </c>
      <c r="V9" s="29"/>
      <c r="W9" s="81"/>
      <c r="AE9" s="1"/>
    </row>
    <row r="10" spans="1:31" s="4" customFormat="1" x14ac:dyDescent="0.25">
      <c r="B10" s="248" t="s">
        <v>51</v>
      </c>
      <c r="C10" s="265">
        <v>94044</v>
      </c>
      <c r="D10" s="265">
        <v>181693</v>
      </c>
      <c r="E10" s="265">
        <v>342343</v>
      </c>
      <c r="F10" s="271">
        <f t="shared" si="0"/>
        <v>0.33669295551352751</v>
      </c>
      <c r="G10" s="265">
        <v>343297</v>
      </c>
      <c r="H10" s="273">
        <f t="shared" si="3"/>
        <v>2.7866788571695444E-3</v>
      </c>
      <c r="I10" s="272">
        <f t="shared" si="4"/>
        <v>954</v>
      </c>
      <c r="J10" s="271">
        <f t="shared" si="5"/>
        <v>0.32923188465562697</v>
      </c>
      <c r="K10" s="265">
        <v>382439</v>
      </c>
      <c r="L10" s="273">
        <f t="shared" si="6"/>
        <v>0.1140178912137304</v>
      </c>
      <c r="M10" s="272">
        <f t="shared" si="7"/>
        <v>39142</v>
      </c>
      <c r="N10" s="271">
        <f t="shared" si="8"/>
        <v>0.36112060613729113</v>
      </c>
      <c r="O10" s="265">
        <v>398420</v>
      </c>
      <c r="P10" s="273">
        <f t="shared" si="9"/>
        <v>4.1787056236419318E-2</v>
      </c>
      <c r="Q10" s="272">
        <f t="shared" si="10"/>
        <v>15981</v>
      </c>
      <c r="R10" s="273">
        <f t="shared" si="1"/>
        <v>3.2365275828335669</v>
      </c>
      <c r="S10" s="272">
        <f t="shared" si="2"/>
        <v>304376</v>
      </c>
      <c r="T10" s="271">
        <f>O10/$O$6</f>
        <v>0.372910323500314</v>
      </c>
      <c r="V10" s="29"/>
      <c r="W10" s="81"/>
      <c r="AE10" s="1"/>
    </row>
    <row r="11" spans="1:31" s="4" customFormat="1" x14ac:dyDescent="0.25">
      <c r="B11" s="248" t="s">
        <v>53</v>
      </c>
      <c r="C11" s="265">
        <v>30342</v>
      </c>
      <c r="D11" s="265">
        <v>44398</v>
      </c>
      <c r="E11" s="265">
        <v>48630</v>
      </c>
      <c r="F11" s="266">
        <f t="shared" si="0"/>
        <v>4.7827408261956111E-2</v>
      </c>
      <c r="G11" s="265">
        <v>55684</v>
      </c>
      <c r="H11" s="277">
        <f t="shared" si="3"/>
        <v>0.14505449311124829</v>
      </c>
      <c r="I11" s="268">
        <f t="shared" si="4"/>
        <v>7054</v>
      </c>
      <c r="J11" s="266">
        <f t="shared" si="5"/>
        <v>5.3402588036492983E-2</v>
      </c>
      <c r="K11" s="265">
        <v>49807</v>
      </c>
      <c r="L11" s="273">
        <f t="shared" si="6"/>
        <v>-0.10554198692622652</v>
      </c>
      <c r="M11" s="272">
        <f t="shared" si="7"/>
        <v>-5877</v>
      </c>
      <c r="N11" s="271">
        <f t="shared" si="8"/>
        <v>4.7030595807122343E-2</v>
      </c>
      <c r="O11" s="265">
        <v>52122</v>
      </c>
      <c r="P11" s="273">
        <f t="shared" si="9"/>
        <v>4.647941052462512E-2</v>
      </c>
      <c r="Q11" s="272">
        <f t="shared" si="10"/>
        <v>2315</v>
      </c>
      <c r="R11" s="273">
        <f t="shared" si="1"/>
        <v>0.71781688748269734</v>
      </c>
      <c r="S11" s="272">
        <f t="shared" si="2"/>
        <v>21780</v>
      </c>
      <c r="T11" s="271">
        <f t="shared" si="11"/>
        <v>4.8784779583061509E-2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52879</v>
      </c>
      <c r="D12" s="265">
        <v>104557</v>
      </c>
      <c r="E12" s="265">
        <v>134886</v>
      </c>
      <c r="F12" s="271">
        <f t="shared" si="0"/>
        <v>0.13265983530376749</v>
      </c>
      <c r="G12" s="265">
        <v>147214</v>
      </c>
      <c r="H12" s="273">
        <f t="shared" si="3"/>
        <v>9.1395697107186757E-2</v>
      </c>
      <c r="I12" s="272">
        <f t="shared" si="4"/>
        <v>12328</v>
      </c>
      <c r="J12" s="271">
        <f t="shared" si="5"/>
        <v>0.14118254067962571</v>
      </c>
      <c r="K12" s="265">
        <v>155988</v>
      </c>
      <c r="L12" s="273">
        <f t="shared" si="6"/>
        <v>5.9600309753148561E-2</v>
      </c>
      <c r="M12" s="272">
        <f t="shared" si="7"/>
        <v>8774</v>
      </c>
      <c r="N12" s="271">
        <f t="shared" si="8"/>
        <v>0.14729272148014133</v>
      </c>
      <c r="O12" s="265">
        <v>178403</v>
      </c>
      <c r="P12" s="273">
        <f t="shared" si="9"/>
        <v>0.14369695104751656</v>
      </c>
      <c r="Q12" s="272">
        <f t="shared" si="10"/>
        <v>22415</v>
      </c>
      <c r="R12" s="273">
        <f t="shared" si="1"/>
        <v>2.3737967813309631</v>
      </c>
      <c r="S12" s="272">
        <f t="shared" si="2"/>
        <v>125524</v>
      </c>
      <c r="T12" s="271">
        <f t="shared" si="11"/>
        <v>0.16698037358422399</v>
      </c>
      <c r="V12" s="29"/>
      <c r="W12" s="81"/>
      <c r="AE12" s="1"/>
    </row>
    <row r="13" spans="1:31" s="4" customFormat="1" x14ac:dyDescent="0.25">
      <c r="B13" s="248" t="s">
        <v>52</v>
      </c>
      <c r="C13" s="265">
        <v>14777</v>
      </c>
      <c r="D13" s="265">
        <v>21732</v>
      </c>
      <c r="E13" s="265">
        <v>33809</v>
      </c>
      <c r="F13" s="266">
        <f t="shared" si="0"/>
        <v>3.3251014721950939E-2</v>
      </c>
      <c r="G13" s="265">
        <v>37722</v>
      </c>
      <c r="H13" s="277">
        <f t="shared" si="3"/>
        <v>0.11573841284864983</v>
      </c>
      <c r="I13" s="268">
        <f t="shared" si="4"/>
        <v>3913</v>
      </c>
      <c r="J13" s="266">
        <f t="shared" si="5"/>
        <v>3.6176503590126217E-2</v>
      </c>
      <c r="K13" s="265">
        <v>35821</v>
      </c>
      <c r="L13" s="273">
        <f t="shared" si="6"/>
        <v>-5.0394994963151474E-2</v>
      </c>
      <c r="M13" s="272">
        <f t="shared" si="7"/>
        <v>-1901</v>
      </c>
      <c r="N13" s="271">
        <f t="shared" si="8"/>
        <v>3.3824220940970734E-2</v>
      </c>
      <c r="O13" s="265">
        <v>35565</v>
      </c>
      <c r="P13" s="273">
        <f t="shared" si="9"/>
        <v>-7.146645822282971E-3</v>
      </c>
      <c r="Q13" s="272">
        <f t="shared" si="10"/>
        <v>-256</v>
      </c>
      <c r="R13" s="273">
        <f t="shared" si="1"/>
        <v>1.406780808012452</v>
      </c>
      <c r="S13" s="272">
        <f t="shared" si="2"/>
        <v>20788</v>
      </c>
      <c r="T13" s="271">
        <f t="shared" si="11"/>
        <v>3.3287876249406829E-2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21825</v>
      </c>
      <c r="D14" s="265">
        <v>45216</v>
      </c>
      <c r="E14" s="265">
        <v>29061</v>
      </c>
      <c r="F14" s="271">
        <f t="shared" si="0"/>
        <v>2.8581375930510109E-2</v>
      </c>
      <c r="G14" s="265">
        <v>33671</v>
      </c>
      <c r="H14" s="273">
        <f t="shared" si="3"/>
        <v>0.15863184336395864</v>
      </c>
      <c r="I14" s="272">
        <f t="shared" si="4"/>
        <v>4610</v>
      </c>
      <c r="J14" s="271">
        <f t="shared" si="5"/>
        <v>3.229147585979375E-2</v>
      </c>
      <c r="K14" s="265">
        <v>29209</v>
      </c>
      <c r="L14" s="273">
        <f t="shared" si="6"/>
        <v>-0.13251759674497343</v>
      </c>
      <c r="M14" s="272">
        <f t="shared" si="7"/>
        <v>-4462</v>
      </c>
      <c r="N14" s="271">
        <f t="shared" si="8"/>
        <v>2.7580795328573021E-2</v>
      </c>
      <c r="O14" s="265">
        <v>32990</v>
      </c>
      <c r="P14" s="273">
        <f t="shared" si="9"/>
        <v>0.12944640350576875</v>
      </c>
      <c r="Q14" s="272">
        <f t="shared" si="10"/>
        <v>3781</v>
      </c>
      <c r="R14" s="273">
        <f t="shared" si="1"/>
        <v>0.51156930126002287</v>
      </c>
      <c r="S14" s="272">
        <f t="shared" si="2"/>
        <v>11165</v>
      </c>
      <c r="T14" s="271">
        <f t="shared" si="11"/>
        <v>3.0877746027497013E-2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22233</v>
      </c>
      <c r="D15" s="265">
        <v>26311</v>
      </c>
      <c r="E15" s="265">
        <v>32375</v>
      </c>
      <c r="F15" s="266">
        <f t="shared" si="0"/>
        <v>3.1840681523356555E-2</v>
      </c>
      <c r="G15" s="265">
        <v>43847</v>
      </c>
      <c r="H15" s="277">
        <f t="shared" si="3"/>
        <v>0.35434749034749036</v>
      </c>
      <c r="I15" s="268">
        <f t="shared" si="4"/>
        <v>11472</v>
      </c>
      <c r="J15" s="266">
        <f t="shared" si="5"/>
        <v>4.2050558107106312E-2</v>
      </c>
      <c r="K15" s="265">
        <v>61312</v>
      </c>
      <c r="L15" s="273">
        <f t="shared" si="6"/>
        <v>0.39831687458663079</v>
      </c>
      <c r="M15" s="272">
        <f t="shared" si="7"/>
        <v>17465</v>
      </c>
      <c r="N15" s="271">
        <f t="shared" si="8"/>
        <v>5.7894269683504022E-2</v>
      </c>
      <c r="O15" s="265">
        <v>42953</v>
      </c>
      <c r="P15" s="273">
        <f t="shared" si="9"/>
        <v>-0.29943567327766174</v>
      </c>
      <c r="Q15" s="272">
        <f t="shared" si="10"/>
        <v>-18359</v>
      </c>
      <c r="R15" s="273">
        <f t="shared" si="1"/>
        <v>0.93194800521746957</v>
      </c>
      <c r="S15" s="272">
        <f t="shared" si="2"/>
        <v>20720</v>
      </c>
      <c r="T15" s="271">
        <f t="shared" si="11"/>
        <v>4.0202844047259143E-2</v>
      </c>
      <c r="V15" s="29"/>
      <c r="W15" s="81"/>
      <c r="AE15" s="1"/>
    </row>
    <row r="16" spans="1:31" s="4" customFormat="1" x14ac:dyDescent="0.25">
      <c r="B16" s="248" t="s">
        <v>209</v>
      </c>
      <c r="C16" s="265">
        <f>C6-SUM(C7:C15)</f>
        <v>69757</v>
      </c>
      <c r="D16" s="265">
        <f>D6-SUM(D7:D15)</f>
        <v>40392</v>
      </c>
      <c r="E16" s="265">
        <f>E6-SUM(E7:E15)</f>
        <v>57756</v>
      </c>
      <c r="F16" s="271">
        <f t="shared" si="0"/>
        <v>5.6802792341713704E-2</v>
      </c>
      <c r="G16" s="265">
        <f>G6-SUM(G7:G15)</f>
        <v>59804</v>
      </c>
      <c r="H16" s="273">
        <f t="shared" si="3"/>
        <v>3.5459519357296188E-2</v>
      </c>
      <c r="I16" s="272">
        <f t="shared" si="4"/>
        <v>2048</v>
      </c>
      <c r="J16" s="271">
        <f t="shared" si="5"/>
        <v>5.7353788789139187E-2</v>
      </c>
      <c r="K16" s="265">
        <f>K6-SUM(K7:K15)</f>
        <v>55988</v>
      </c>
      <c r="L16" s="273">
        <f t="shared" si="6"/>
        <v>-6.3808440906962693E-2</v>
      </c>
      <c r="M16" s="272">
        <f t="shared" si="7"/>
        <v>-3816</v>
      </c>
      <c r="N16" s="271">
        <f t="shared" si="8"/>
        <v>5.2867046761482635E-2</v>
      </c>
      <c r="O16" s="265">
        <f>O6-SUM(O7:O15)</f>
        <v>51683</v>
      </c>
      <c r="P16" s="273">
        <f t="shared" si="9"/>
        <v>-7.689147674501684E-2</v>
      </c>
      <c r="Q16" s="272">
        <f t="shared" si="10"/>
        <v>-4305</v>
      </c>
      <c r="R16" s="273">
        <f t="shared" si="1"/>
        <v>-0.25909944521696748</v>
      </c>
      <c r="S16" s="272">
        <f t="shared" si="2"/>
        <v>-18074</v>
      </c>
      <c r="T16" s="271">
        <f t="shared" si="11"/>
        <v>4.8373887479209704E-2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188</v>
      </c>
    </row>
    <row r="18" spans="2:31" s="4" customFormat="1" x14ac:dyDescent="0.25">
      <c r="B18" s="173" t="s">
        <v>189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190</v>
      </c>
    </row>
    <row r="19" spans="2:31" s="4" customFormat="1" x14ac:dyDescent="0.25">
      <c r="AE19" s="1"/>
    </row>
    <row r="25" spans="2:31" x14ac:dyDescent="0.25">
      <c r="B25" t="s">
        <v>12</v>
      </c>
    </row>
    <row r="42" spans="2:31" s="4" customFormat="1" ht="15.75" hidden="1" customHeight="1" thickBot="1" x14ac:dyDescent="0.3">
      <c r="B42" s="283" t="s">
        <v>191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192</v>
      </c>
      <c r="O44" s="14">
        <v>2021</v>
      </c>
      <c r="P44" s="14" t="s">
        <v>192</v>
      </c>
      <c r="Q44" s="14" t="s">
        <v>193</v>
      </c>
      <c r="R44" s="14" t="s">
        <v>194</v>
      </c>
      <c r="S44" s="14" t="s">
        <v>195</v>
      </c>
      <c r="T44" s="89"/>
      <c r="AE44" s="1"/>
    </row>
    <row r="45" spans="2:31" s="4" customFormat="1" ht="18.75" hidden="1" x14ac:dyDescent="0.3">
      <c r="B45" s="237" t="s">
        <v>179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180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181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182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183</v>
      </c>
    </row>
    <row r="49" spans="2:31" s="4" customFormat="1" hidden="1" x14ac:dyDescent="0.25">
      <c r="B49" s="248" t="s">
        <v>184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185</v>
      </c>
    </row>
    <row r="50" spans="2:31" s="4" customFormat="1" hidden="1" x14ac:dyDescent="0.25">
      <c r="B50" s="248" t="s">
        <v>186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187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188</v>
      </c>
    </row>
    <row r="52" spans="2:31" s="4" customFormat="1" hidden="1" x14ac:dyDescent="0.25">
      <c r="B52" s="282" t="s">
        <v>189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190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30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208</v>
      </c>
      <c r="C136" s="241">
        <v>456683</v>
      </c>
      <c r="D136" s="241">
        <v>800301</v>
      </c>
      <c r="E136" s="241">
        <v>1016781</v>
      </c>
      <c r="F136" s="241">
        <v>1042721</v>
      </c>
      <c r="G136" s="242">
        <f>F136/E136-1</f>
        <v>2.551188505686075E-2</v>
      </c>
      <c r="H136" s="241">
        <f>F136-E136</f>
        <v>25940</v>
      </c>
      <c r="I136" s="242">
        <f>F136/F$136</f>
        <v>1</v>
      </c>
      <c r="J136" s="241">
        <v>1059034</v>
      </c>
      <c r="K136" s="242">
        <f>H136/H$136</f>
        <v>1</v>
      </c>
      <c r="L136" s="242">
        <f>J136/F136-1</f>
        <v>1.56446451159995E-2</v>
      </c>
      <c r="M136" s="241">
        <f>J136-F136</f>
        <v>16313</v>
      </c>
      <c r="N136" s="242">
        <f>J136/C136-1</f>
        <v>1.3189696134955757</v>
      </c>
      <c r="O136" s="241">
        <f>J136-C136</f>
        <v>602351</v>
      </c>
      <c r="Q136" s="29"/>
      <c r="R136" s="81"/>
      <c r="Z136" s="1" t="s">
        <v>181</v>
      </c>
      <c r="AE136"/>
    </row>
    <row r="137" spans="1:31" s="4" customFormat="1" x14ac:dyDescent="0.25">
      <c r="B137" s="248" t="s">
        <v>47</v>
      </c>
      <c r="C137" s="265">
        <v>117997</v>
      </c>
      <c r="D137" s="265">
        <v>247584</v>
      </c>
      <c r="E137" s="265">
        <v>207208</v>
      </c>
      <c r="F137" s="265">
        <v>181700</v>
      </c>
      <c r="G137" s="271">
        <f t="shared" ref="G137:G146" si="12">F137/E137-1</f>
        <v>-0.12310335508281534</v>
      </c>
      <c r="H137" s="278">
        <f t="shared" ref="H137:H146" si="13">F137-E137</f>
        <v>-25508</v>
      </c>
      <c r="I137" s="273">
        <f t="shared" ref="I137:K146" si="14">F137/F$136</f>
        <v>0.17425562542616865</v>
      </c>
      <c r="J137" s="265">
        <v>161848</v>
      </c>
      <c r="K137" s="273">
        <f t="shared" si="14"/>
        <v>-0.9833461835003855</v>
      </c>
      <c r="L137" s="273">
        <f t="shared" ref="L137:L146" si="15">J137/F137-1</f>
        <v>-0.1092570170610897</v>
      </c>
      <c r="M137" s="272">
        <f t="shared" ref="M137:M146" si="16">J137-F137</f>
        <v>-19852</v>
      </c>
      <c r="N137" s="271">
        <f t="shared" ref="N137:N146" si="17">J137/C137-1</f>
        <v>0.37162809223963311</v>
      </c>
      <c r="O137" s="265">
        <f t="shared" ref="O137:O146" si="18">J137-C137</f>
        <v>43851</v>
      </c>
      <c r="Q137" s="29"/>
      <c r="R137" s="81"/>
      <c r="Z137" s="1" t="s">
        <v>183</v>
      </c>
    </row>
    <row r="138" spans="1:31" s="4" customFormat="1" x14ac:dyDescent="0.25">
      <c r="B138" s="248" t="s">
        <v>48</v>
      </c>
      <c r="C138" s="265">
        <v>51760</v>
      </c>
      <c r="D138" s="265">
        <v>83468</v>
      </c>
      <c r="E138" s="265">
        <v>123951</v>
      </c>
      <c r="F138" s="265">
        <v>119487</v>
      </c>
      <c r="G138" s="271">
        <f t="shared" si="12"/>
        <v>-3.6014231430161914E-2</v>
      </c>
      <c r="H138" s="278">
        <f t="shared" si="13"/>
        <v>-4464</v>
      </c>
      <c r="I138" s="273">
        <f t="shared" si="14"/>
        <v>0.11459153503190211</v>
      </c>
      <c r="J138" s="265">
        <v>114632</v>
      </c>
      <c r="K138" s="273">
        <f t="shared" si="14"/>
        <v>-0.17208943716268313</v>
      </c>
      <c r="L138" s="273">
        <f t="shared" si="15"/>
        <v>-4.063203528417314E-2</v>
      </c>
      <c r="M138" s="272">
        <f t="shared" si="16"/>
        <v>-4855</v>
      </c>
      <c r="N138" s="271">
        <f t="shared" si="17"/>
        <v>1.2146831530139104</v>
      </c>
      <c r="O138" s="265">
        <f t="shared" si="18"/>
        <v>62872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2339</v>
      </c>
      <c r="D139" s="265">
        <v>4950</v>
      </c>
      <c r="E139" s="265">
        <v>6762</v>
      </c>
      <c r="F139" s="265">
        <v>20295</v>
      </c>
      <c r="G139" s="271">
        <f t="shared" si="12"/>
        <v>2.0013309671694763</v>
      </c>
      <c r="H139" s="278">
        <f t="shared" si="13"/>
        <v>13533</v>
      </c>
      <c r="I139" s="273">
        <f t="shared" si="14"/>
        <v>1.9463499824018123E-2</v>
      </c>
      <c r="J139" s="265">
        <v>11990</v>
      </c>
      <c r="K139" s="277">
        <f t="shared" si="14"/>
        <v>0.52170393215111799</v>
      </c>
      <c r="L139" s="273">
        <f t="shared" si="15"/>
        <v>-0.40921409214092141</v>
      </c>
      <c r="M139" s="272">
        <f t="shared" si="16"/>
        <v>-8305</v>
      </c>
      <c r="N139" s="271">
        <f t="shared" si="17"/>
        <v>4.1261222744762716</v>
      </c>
      <c r="O139" s="265">
        <f t="shared" si="18"/>
        <v>9651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103133</v>
      </c>
      <c r="D140" s="265">
        <v>181693</v>
      </c>
      <c r="E140" s="265">
        <v>342343</v>
      </c>
      <c r="F140" s="265">
        <v>343297</v>
      </c>
      <c r="G140" s="271">
        <f t="shared" si="12"/>
        <v>2.7866788571695444E-3</v>
      </c>
      <c r="H140" s="278">
        <f t="shared" si="13"/>
        <v>954</v>
      </c>
      <c r="I140" s="273">
        <f t="shared" si="14"/>
        <v>0.32923188465562697</v>
      </c>
      <c r="J140" s="265">
        <v>382439</v>
      </c>
      <c r="K140" s="273">
        <f t="shared" si="14"/>
        <v>3.6777178103315343E-2</v>
      </c>
      <c r="L140" s="273">
        <f t="shared" si="15"/>
        <v>0.1140178912137304</v>
      </c>
      <c r="M140" s="272">
        <f t="shared" si="16"/>
        <v>39142</v>
      </c>
      <c r="N140" s="271">
        <f t="shared" si="17"/>
        <v>2.7082117266054513</v>
      </c>
      <c r="O140" s="265">
        <f t="shared" si="18"/>
        <v>279306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30584</v>
      </c>
      <c r="D141" s="265">
        <v>44398</v>
      </c>
      <c r="E141" s="265">
        <v>48630</v>
      </c>
      <c r="F141" s="265">
        <v>55684</v>
      </c>
      <c r="G141" s="271">
        <f t="shared" si="12"/>
        <v>0.14505449311124829</v>
      </c>
      <c r="H141" s="278">
        <f t="shared" si="13"/>
        <v>7054</v>
      </c>
      <c r="I141" s="273">
        <f t="shared" si="14"/>
        <v>5.3402588036492983E-2</v>
      </c>
      <c r="J141" s="265">
        <v>49807</v>
      </c>
      <c r="K141" s="277">
        <f t="shared" si="14"/>
        <v>0.27193523515805706</v>
      </c>
      <c r="L141" s="273">
        <f t="shared" si="15"/>
        <v>-0.10554198692622652</v>
      </c>
      <c r="M141" s="272">
        <f t="shared" si="16"/>
        <v>-5877</v>
      </c>
      <c r="N141" s="271">
        <f t="shared" si="17"/>
        <v>0.62853125817420863</v>
      </c>
      <c r="O141" s="265">
        <f t="shared" si="18"/>
        <v>19223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61571</v>
      </c>
      <c r="D142" s="265">
        <v>104557</v>
      </c>
      <c r="E142" s="265">
        <v>134886</v>
      </c>
      <c r="F142" s="265">
        <v>147214</v>
      </c>
      <c r="G142" s="271">
        <f t="shared" si="12"/>
        <v>9.1395697107186757E-2</v>
      </c>
      <c r="H142" s="278">
        <f t="shared" si="13"/>
        <v>12328</v>
      </c>
      <c r="I142" s="273">
        <f t="shared" si="14"/>
        <v>0.14118254067962571</v>
      </c>
      <c r="J142" s="265">
        <v>155988</v>
      </c>
      <c r="K142" s="273">
        <f t="shared" si="14"/>
        <v>0.47525057825751738</v>
      </c>
      <c r="L142" s="273">
        <f t="shared" si="15"/>
        <v>5.9600309753148561E-2</v>
      </c>
      <c r="M142" s="272">
        <f t="shared" si="16"/>
        <v>8774</v>
      </c>
      <c r="N142" s="271">
        <f t="shared" si="17"/>
        <v>1.533465430153806</v>
      </c>
      <c r="O142" s="265">
        <f t="shared" si="18"/>
        <v>94417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16023</v>
      </c>
      <c r="D143" s="265">
        <v>21732</v>
      </c>
      <c r="E143" s="265">
        <v>33809</v>
      </c>
      <c r="F143" s="265">
        <v>37722</v>
      </c>
      <c r="G143" s="271">
        <f t="shared" si="12"/>
        <v>0.11573841284864983</v>
      </c>
      <c r="H143" s="278">
        <f t="shared" si="13"/>
        <v>3913</v>
      </c>
      <c r="I143" s="273">
        <f t="shared" si="14"/>
        <v>3.6176503590126217E-2</v>
      </c>
      <c r="J143" s="265">
        <v>35821</v>
      </c>
      <c r="K143" s="277">
        <f t="shared" si="14"/>
        <v>0.15084811102544332</v>
      </c>
      <c r="L143" s="273">
        <f t="shared" si="15"/>
        <v>-5.0394994963151474E-2</v>
      </c>
      <c r="M143" s="272">
        <f t="shared" si="16"/>
        <v>-1901</v>
      </c>
      <c r="N143" s="271">
        <f t="shared" si="17"/>
        <v>1.2355988266866378</v>
      </c>
      <c r="O143" s="265">
        <f t="shared" si="18"/>
        <v>19798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26839</v>
      </c>
      <c r="D144" s="265">
        <v>45216</v>
      </c>
      <c r="E144" s="265">
        <v>29061</v>
      </c>
      <c r="F144" s="265">
        <v>33671</v>
      </c>
      <c r="G144" s="271">
        <f t="shared" si="12"/>
        <v>0.15863184336395864</v>
      </c>
      <c r="H144" s="278">
        <f t="shared" si="13"/>
        <v>4610</v>
      </c>
      <c r="I144" s="273">
        <f t="shared" si="14"/>
        <v>3.229147585979375E-2</v>
      </c>
      <c r="J144" s="265">
        <v>29209</v>
      </c>
      <c r="K144" s="273">
        <f t="shared" si="14"/>
        <v>0.1777178103315343</v>
      </c>
      <c r="L144" s="273">
        <f t="shared" si="15"/>
        <v>-0.13251759674497343</v>
      </c>
      <c r="M144" s="272">
        <f t="shared" si="16"/>
        <v>-4462</v>
      </c>
      <c r="N144" s="271">
        <f t="shared" si="17"/>
        <v>8.8304333246395084E-2</v>
      </c>
      <c r="O144" s="265">
        <f t="shared" si="18"/>
        <v>2370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24273</v>
      </c>
      <c r="D145" s="265">
        <v>26311</v>
      </c>
      <c r="E145" s="265">
        <v>32375</v>
      </c>
      <c r="F145" s="265">
        <v>43847</v>
      </c>
      <c r="G145" s="271">
        <f t="shared" si="12"/>
        <v>0.35434749034749036</v>
      </c>
      <c r="H145" s="278">
        <f t="shared" si="13"/>
        <v>11472</v>
      </c>
      <c r="I145" s="273">
        <f t="shared" si="14"/>
        <v>4.2050558107106312E-2</v>
      </c>
      <c r="J145" s="265">
        <v>61312</v>
      </c>
      <c r="K145" s="277">
        <f t="shared" si="14"/>
        <v>0.44225134926754051</v>
      </c>
      <c r="L145" s="273">
        <f t="shared" si="15"/>
        <v>0.39831687458663079</v>
      </c>
      <c r="M145" s="272">
        <f t="shared" si="16"/>
        <v>17465</v>
      </c>
      <c r="N145" s="271">
        <f t="shared" si="17"/>
        <v>1.5259341655337204</v>
      </c>
      <c r="O145" s="265">
        <f t="shared" si="18"/>
        <v>37039</v>
      </c>
      <c r="Q145" s="29"/>
      <c r="R145" s="81"/>
      <c r="Z145" s="1"/>
    </row>
    <row r="146" spans="2:31" s="4" customFormat="1" x14ac:dyDescent="0.25">
      <c r="B146" s="248" t="s">
        <v>209</v>
      </c>
      <c r="C146" s="265">
        <f>C136-SUM(C137:C145)</f>
        <v>22164</v>
      </c>
      <c r="D146" s="265">
        <f>D136-SUM(D137:D145)</f>
        <v>40392</v>
      </c>
      <c r="E146" s="265">
        <f>E136-SUM(E137:E145)</f>
        <v>57756</v>
      </c>
      <c r="F146" s="265">
        <f>F136-SUM(F137:F145)</f>
        <v>59804</v>
      </c>
      <c r="G146" s="271">
        <f t="shared" si="12"/>
        <v>3.5459519357296188E-2</v>
      </c>
      <c r="H146" s="278">
        <f t="shared" si="13"/>
        <v>2048</v>
      </c>
      <c r="I146" s="273">
        <f t="shared" si="14"/>
        <v>5.7353788789139187E-2</v>
      </c>
      <c r="J146" s="265">
        <f>J136-SUM(J137:J145)</f>
        <v>55988</v>
      </c>
      <c r="K146" s="273">
        <f t="shared" si="14"/>
        <v>7.8951426368542785E-2</v>
      </c>
      <c r="L146" s="273">
        <f t="shared" si="15"/>
        <v>-6.3808440906962693E-2</v>
      </c>
      <c r="M146" s="272">
        <f t="shared" si="16"/>
        <v>-3816</v>
      </c>
      <c r="N146" s="271">
        <f t="shared" si="17"/>
        <v>1.5260783252120556</v>
      </c>
      <c r="O146" s="265">
        <f t="shared" si="18"/>
        <v>33824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188</v>
      </c>
    </row>
    <row r="148" spans="2:31" s="4" customFormat="1" x14ac:dyDescent="0.25">
      <c r="B148" s="173" t="s">
        <v>189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190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DA4ED-7DE7-491B-91BB-69BA8F57AE25}">
  <sheetPr>
    <tabColor theme="4" tint="0.39997558519241921"/>
  </sheetPr>
  <dimension ref="A1:AE149"/>
  <sheetViews>
    <sheetView showGridLines="0" zoomScaleNormal="100" workbookViewId="0">
      <selection activeCell="H9" sqref="H9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210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267</v>
      </c>
      <c r="D5" s="254" t="s">
        <v>268</v>
      </c>
      <c r="E5" s="254" t="s">
        <v>269</v>
      </c>
      <c r="F5" s="255" t="str">
        <f>CONCATENATE("%/s total Tenerife ",RIGHT(E5,4))</f>
        <v>%/s total Tenerife 2022</v>
      </c>
      <c r="G5" s="254" t="s">
        <v>270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271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272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208</v>
      </c>
      <c r="C6" s="256">
        <v>248286</v>
      </c>
      <c r="D6" s="256">
        <v>384253</v>
      </c>
      <c r="E6" s="256">
        <v>593573</v>
      </c>
      <c r="F6" s="257">
        <f>E6/$E$6</f>
        <v>1</v>
      </c>
      <c r="G6" s="256">
        <v>612402</v>
      </c>
      <c r="H6" s="257">
        <f>G6/E6-1</f>
        <v>3.1721456333087872E-2</v>
      </c>
      <c r="I6" s="256">
        <f>G6-E6</f>
        <v>18829</v>
      </c>
      <c r="J6" s="257">
        <f>G6/$G$6</f>
        <v>1</v>
      </c>
      <c r="K6" s="256">
        <v>637010</v>
      </c>
      <c r="L6" s="257">
        <f>K6/G6-1</f>
        <v>4.0182755771535739E-2</v>
      </c>
      <c r="M6" s="256">
        <f>K6-G6</f>
        <v>24608</v>
      </c>
      <c r="N6" s="257">
        <f>K6/$K$6</f>
        <v>1</v>
      </c>
      <c r="O6" s="256">
        <v>644247</v>
      </c>
      <c r="P6" s="257">
        <f>O6/K6-1</f>
        <v>1.1360889154016451E-2</v>
      </c>
      <c r="Q6" s="256">
        <f>O6-K6</f>
        <v>7237</v>
      </c>
      <c r="R6" s="257">
        <f>IFERROR(O6/C6-1,"-")</f>
        <v>1.5947777965733065</v>
      </c>
      <c r="S6" s="256">
        <f>O6-C6</f>
        <v>395961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48" t="s">
        <v>47</v>
      </c>
      <c r="C7" s="265">
        <v>43067</v>
      </c>
      <c r="D7" s="265">
        <v>120918</v>
      </c>
      <c r="E7" s="265">
        <v>120397</v>
      </c>
      <c r="F7" s="271">
        <f t="shared" ref="F7:F16" si="0">E7/$E$6</f>
        <v>0.20283436072732419</v>
      </c>
      <c r="G7" s="265">
        <v>106339</v>
      </c>
      <c r="H7" s="273">
        <f>G7/E7-1</f>
        <v>-0.11676370673687886</v>
      </c>
      <c r="I7" s="272">
        <f>G7-E7</f>
        <v>-14058</v>
      </c>
      <c r="J7" s="271">
        <f>G7/$G$6</f>
        <v>0.17364247667381882</v>
      </c>
      <c r="K7" s="265">
        <v>101169</v>
      </c>
      <c r="L7" s="273">
        <f>K7/G7-1</f>
        <v>-4.8618098722011727E-2</v>
      </c>
      <c r="M7" s="272">
        <f>K7-G7</f>
        <v>-5170</v>
      </c>
      <c r="N7" s="271">
        <f>K7/$K$6</f>
        <v>0.15881854288001759</v>
      </c>
      <c r="O7" s="265">
        <v>80536</v>
      </c>
      <c r="P7" s="273">
        <f>O7/K7-1</f>
        <v>-0.2039458727475808</v>
      </c>
      <c r="Q7" s="272">
        <f>O7-K7</f>
        <v>-20633</v>
      </c>
      <c r="R7" s="273">
        <f t="shared" ref="R7:R16" si="1">IFERROR(O7/C7-1,"-")</f>
        <v>0.87001648594051129</v>
      </c>
      <c r="S7" s="272">
        <f t="shared" ref="S7:S16" si="2">O7-C7</f>
        <v>37469</v>
      </c>
      <c r="T7" s="271">
        <f>O7/$O$6</f>
        <v>0.12500795502346149</v>
      </c>
      <c r="V7" s="29"/>
      <c r="W7" s="81"/>
      <c r="AE7" s="1" t="s">
        <v>183</v>
      </c>
    </row>
    <row r="8" spans="1:31" s="4" customFormat="1" x14ac:dyDescent="0.25">
      <c r="B8" s="248" t="s">
        <v>48</v>
      </c>
      <c r="C8" s="265">
        <v>23619</v>
      </c>
      <c r="D8" s="265">
        <v>39986</v>
      </c>
      <c r="E8" s="265">
        <v>75857</v>
      </c>
      <c r="F8" s="271">
        <f t="shared" si="0"/>
        <v>0.12779725492904831</v>
      </c>
      <c r="G8" s="265">
        <v>66877</v>
      </c>
      <c r="H8" s="273">
        <f t="shared" ref="H8:H16" si="3">G8/E8-1</f>
        <v>-0.11838063725167092</v>
      </c>
      <c r="I8" s="272">
        <f t="shared" ref="I8:I16" si="4">G8-E8</f>
        <v>-8980</v>
      </c>
      <c r="J8" s="271">
        <f t="shared" ref="J8:J16" si="5">G8/$G$6</f>
        <v>0.10920441148134721</v>
      </c>
      <c r="K8" s="265">
        <v>64410</v>
      </c>
      <c r="L8" s="273">
        <f t="shared" ref="L8:L16" si="6">K8/G8-1</f>
        <v>-3.6888616415210018E-2</v>
      </c>
      <c r="M8" s="272">
        <f t="shared" ref="M8:M16" si="7">K8-G8</f>
        <v>-2467</v>
      </c>
      <c r="N8" s="271">
        <f t="shared" ref="N8:N16" si="8">K8/$K$6</f>
        <v>0.10111301235459412</v>
      </c>
      <c r="O8" s="265">
        <v>66849</v>
      </c>
      <c r="P8" s="273">
        <f t="shared" ref="P8:P16" si="9">O8/K8-1</f>
        <v>3.7866790870982658E-2</v>
      </c>
      <c r="Q8" s="272">
        <f t="shared" ref="Q8:Q16" si="10">O8-K8</f>
        <v>2439</v>
      </c>
      <c r="R8" s="273">
        <f t="shared" si="1"/>
        <v>1.8303061094881241</v>
      </c>
      <c r="S8" s="272">
        <f t="shared" si="2"/>
        <v>43230</v>
      </c>
      <c r="T8" s="271">
        <f t="shared" ref="T8:T16" si="11">O8/$O$6</f>
        <v>0.10376299773223624</v>
      </c>
      <c r="V8" s="29"/>
      <c r="W8" s="81"/>
      <c r="AE8" s="1"/>
    </row>
    <row r="9" spans="1:31" s="4" customFormat="1" x14ac:dyDescent="0.25">
      <c r="B9" s="248" t="s">
        <v>49</v>
      </c>
      <c r="C9" s="265">
        <v>681</v>
      </c>
      <c r="D9" s="265">
        <v>2535</v>
      </c>
      <c r="E9" s="265">
        <v>3247</v>
      </c>
      <c r="F9" s="266">
        <f t="shared" si="0"/>
        <v>5.4702622929277446E-3</v>
      </c>
      <c r="G9" s="265">
        <v>5439</v>
      </c>
      <c r="H9" s="277">
        <f t="shared" si="3"/>
        <v>0.67508469356328926</v>
      </c>
      <c r="I9" s="268">
        <f t="shared" si="4"/>
        <v>2192</v>
      </c>
      <c r="J9" s="266">
        <f t="shared" si="5"/>
        <v>8.8814210273643786E-3</v>
      </c>
      <c r="K9" s="265">
        <v>4225</v>
      </c>
      <c r="L9" s="273">
        <f t="shared" si="6"/>
        <v>-0.22320279463136605</v>
      </c>
      <c r="M9" s="272">
        <f t="shared" si="7"/>
        <v>-1214</v>
      </c>
      <c r="N9" s="271">
        <f t="shared" si="8"/>
        <v>6.6325489395770865E-3</v>
      </c>
      <c r="O9" s="265">
        <v>4151</v>
      </c>
      <c r="P9" s="273">
        <f t="shared" si="9"/>
        <v>-1.7514792899408271E-2</v>
      </c>
      <c r="Q9" s="272">
        <f t="shared" si="10"/>
        <v>-74</v>
      </c>
      <c r="R9" s="273">
        <f t="shared" si="1"/>
        <v>5.0954478707782673</v>
      </c>
      <c r="S9" s="272">
        <f t="shared" si="2"/>
        <v>3470</v>
      </c>
      <c r="T9" s="271">
        <f t="shared" si="11"/>
        <v>6.4431809538888036E-3</v>
      </c>
      <c r="V9" s="29"/>
      <c r="W9" s="81"/>
      <c r="AE9" s="1"/>
    </row>
    <row r="10" spans="1:31" s="4" customFormat="1" x14ac:dyDescent="0.25">
      <c r="B10" s="248" t="s">
        <v>51</v>
      </c>
      <c r="C10" s="265">
        <v>68651</v>
      </c>
      <c r="D10" s="265">
        <v>114704</v>
      </c>
      <c r="E10" s="265">
        <v>244952</v>
      </c>
      <c r="F10" s="271">
        <f t="shared" si="0"/>
        <v>0.4126737570610523</v>
      </c>
      <c r="G10" s="265">
        <v>250432</v>
      </c>
      <c r="H10" s="273">
        <f t="shared" si="3"/>
        <v>2.2371729971586207E-2</v>
      </c>
      <c r="I10" s="272">
        <f t="shared" si="4"/>
        <v>5480</v>
      </c>
      <c r="J10" s="271">
        <f t="shared" si="5"/>
        <v>0.4089340008687104</v>
      </c>
      <c r="K10" s="265">
        <v>276037</v>
      </c>
      <c r="L10" s="273">
        <f t="shared" si="6"/>
        <v>0.10224332353692822</v>
      </c>
      <c r="M10" s="272">
        <f t="shared" si="7"/>
        <v>25605</v>
      </c>
      <c r="N10" s="271">
        <f t="shared" si="8"/>
        <v>0.43333228677728763</v>
      </c>
      <c r="O10" s="265">
        <v>294370</v>
      </c>
      <c r="P10" s="273">
        <f t="shared" si="9"/>
        <v>6.6415009582048823E-2</v>
      </c>
      <c r="Q10" s="272">
        <f t="shared" si="10"/>
        <v>18333</v>
      </c>
      <c r="R10" s="273">
        <f t="shared" si="1"/>
        <v>3.2879200594310349</v>
      </c>
      <c r="S10" s="272">
        <f t="shared" si="2"/>
        <v>225719</v>
      </c>
      <c r="T10" s="271">
        <f>O10/$O$6</f>
        <v>0.45692102563147363</v>
      </c>
      <c r="V10" s="29"/>
      <c r="W10" s="81"/>
      <c r="AE10" s="1"/>
    </row>
    <row r="11" spans="1:31" s="4" customFormat="1" x14ac:dyDescent="0.25">
      <c r="B11" s="248" t="s">
        <v>53</v>
      </c>
      <c r="C11" s="265">
        <v>25510</v>
      </c>
      <c r="D11" s="265">
        <v>20278</v>
      </c>
      <c r="E11" s="265">
        <v>32271</v>
      </c>
      <c r="F11" s="266">
        <f t="shared" si="0"/>
        <v>5.4367365092414917E-2</v>
      </c>
      <c r="G11" s="265">
        <v>36164</v>
      </c>
      <c r="H11" s="277">
        <f t="shared" si="3"/>
        <v>0.12063462551516846</v>
      </c>
      <c r="I11" s="268">
        <f t="shared" si="4"/>
        <v>3893</v>
      </c>
      <c r="J11" s="266">
        <f t="shared" si="5"/>
        <v>5.9052713740320902E-2</v>
      </c>
      <c r="K11" s="265">
        <v>33708</v>
      </c>
      <c r="L11" s="273">
        <f t="shared" si="6"/>
        <v>-6.791284149983412E-2</v>
      </c>
      <c r="M11" s="272">
        <f t="shared" si="7"/>
        <v>-2456</v>
      </c>
      <c r="N11" s="271">
        <f t="shared" si="8"/>
        <v>5.2915966782311107E-2</v>
      </c>
      <c r="O11" s="265">
        <v>31636</v>
      </c>
      <c r="P11" s="273">
        <f t="shared" si="9"/>
        <v>-6.146908745698354E-2</v>
      </c>
      <c r="Q11" s="272">
        <f t="shared" si="10"/>
        <v>-2072</v>
      </c>
      <c r="R11" s="273">
        <f t="shared" si="1"/>
        <v>0.24014112112896902</v>
      </c>
      <c r="S11" s="272">
        <f t="shared" si="2"/>
        <v>6126</v>
      </c>
      <c r="T11" s="271">
        <f t="shared" si="11"/>
        <v>4.910538970301763E-2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28803</v>
      </c>
      <c r="D12" s="265">
        <v>51310</v>
      </c>
      <c r="E12" s="265">
        <v>65021</v>
      </c>
      <c r="F12" s="271">
        <f t="shared" si="0"/>
        <v>0.10954170759114717</v>
      </c>
      <c r="G12" s="265">
        <v>80189</v>
      </c>
      <c r="H12" s="273">
        <f t="shared" si="3"/>
        <v>0.23327847926054668</v>
      </c>
      <c r="I12" s="272">
        <f t="shared" si="4"/>
        <v>15168</v>
      </c>
      <c r="J12" s="271">
        <f t="shared" si="5"/>
        <v>0.13094176700925209</v>
      </c>
      <c r="K12" s="265">
        <v>80800</v>
      </c>
      <c r="L12" s="273">
        <f t="shared" si="6"/>
        <v>7.6194989337690089E-3</v>
      </c>
      <c r="M12" s="272">
        <f t="shared" si="7"/>
        <v>611</v>
      </c>
      <c r="N12" s="271">
        <f t="shared" si="8"/>
        <v>0.1268425927379476</v>
      </c>
      <c r="O12" s="265">
        <v>84941</v>
      </c>
      <c r="P12" s="273">
        <f t="shared" si="9"/>
        <v>5.1250000000000018E-2</v>
      </c>
      <c r="Q12" s="272">
        <f t="shared" si="10"/>
        <v>4141</v>
      </c>
      <c r="R12" s="273">
        <f t="shared" si="1"/>
        <v>1.9490330868312329</v>
      </c>
      <c r="S12" s="272">
        <f t="shared" si="2"/>
        <v>56138</v>
      </c>
      <c r="T12" s="271">
        <f t="shared" si="11"/>
        <v>0.13184539470110065</v>
      </c>
      <c r="V12" s="29"/>
      <c r="W12" s="81"/>
      <c r="AE12" s="1"/>
    </row>
    <row r="13" spans="1:31" s="4" customFormat="1" x14ac:dyDescent="0.25">
      <c r="B13" s="248" t="s">
        <v>52</v>
      </c>
      <c r="C13" s="265">
        <v>6752</v>
      </c>
      <c r="D13" s="265">
        <v>10731</v>
      </c>
      <c r="E13" s="265">
        <v>17520</v>
      </c>
      <c r="F13" s="266">
        <f t="shared" si="0"/>
        <v>2.951616734588669E-2</v>
      </c>
      <c r="G13" s="265">
        <v>25698</v>
      </c>
      <c r="H13" s="277">
        <f t="shared" si="3"/>
        <v>0.46678082191780823</v>
      </c>
      <c r="I13" s="268">
        <f t="shared" si="4"/>
        <v>8178</v>
      </c>
      <c r="J13" s="266">
        <f t="shared" si="5"/>
        <v>4.1962632388529104E-2</v>
      </c>
      <c r="K13" s="265">
        <v>23944</v>
      </c>
      <c r="L13" s="273">
        <f t="shared" si="6"/>
        <v>-6.8254338859055186E-2</v>
      </c>
      <c r="M13" s="272">
        <f t="shared" si="7"/>
        <v>-1754</v>
      </c>
      <c r="N13" s="271">
        <f t="shared" si="8"/>
        <v>3.758810693709675E-2</v>
      </c>
      <c r="O13" s="265">
        <v>21878</v>
      </c>
      <c r="P13" s="273">
        <f t="shared" si="9"/>
        <v>-8.6284664216505158E-2</v>
      </c>
      <c r="Q13" s="272">
        <f t="shared" si="10"/>
        <v>-2066</v>
      </c>
      <c r="R13" s="273">
        <f t="shared" si="1"/>
        <v>2.2402251184834121</v>
      </c>
      <c r="S13" s="272">
        <f t="shared" si="2"/>
        <v>15126</v>
      </c>
      <c r="T13" s="271">
        <f t="shared" si="11"/>
        <v>3.3959025032324557E-2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5616</v>
      </c>
      <c r="D14" s="265">
        <v>11021</v>
      </c>
      <c r="E14" s="265">
        <v>9118</v>
      </c>
      <c r="F14" s="271">
        <f t="shared" si="0"/>
        <v>1.536121083674628E-2</v>
      </c>
      <c r="G14" s="265">
        <v>11319</v>
      </c>
      <c r="H14" s="273">
        <f t="shared" si="3"/>
        <v>0.24139065584558028</v>
      </c>
      <c r="I14" s="272">
        <f t="shared" si="4"/>
        <v>2201</v>
      </c>
      <c r="J14" s="271">
        <f t="shared" si="5"/>
        <v>1.8482957273163705E-2</v>
      </c>
      <c r="K14" s="265">
        <v>10833</v>
      </c>
      <c r="L14" s="273">
        <f t="shared" si="6"/>
        <v>-4.2936655181553096E-2</v>
      </c>
      <c r="M14" s="272">
        <f t="shared" si="7"/>
        <v>-486</v>
      </c>
      <c r="N14" s="271">
        <f t="shared" si="8"/>
        <v>1.7006012464482505E-2</v>
      </c>
      <c r="O14" s="265">
        <v>13384</v>
      </c>
      <c r="P14" s="273">
        <f t="shared" si="9"/>
        <v>0.23548416874365374</v>
      </c>
      <c r="Q14" s="272">
        <f t="shared" si="10"/>
        <v>2551</v>
      </c>
      <c r="R14" s="273">
        <f t="shared" si="1"/>
        <v>1.383190883190883</v>
      </c>
      <c r="S14" s="272">
        <f t="shared" si="2"/>
        <v>7768</v>
      </c>
      <c r="T14" s="271">
        <f t="shared" si="11"/>
        <v>2.0774640782184474E-2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14211</v>
      </c>
      <c r="D15" s="265">
        <v>4744</v>
      </c>
      <c r="E15" s="265">
        <v>9037</v>
      </c>
      <c r="F15" s="266">
        <f t="shared" si="0"/>
        <v>1.5224749104153995E-2</v>
      </c>
      <c r="G15" s="265">
        <v>14448</v>
      </c>
      <c r="H15" s="277">
        <f t="shared" si="3"/>
        <v>0.59876065065840445</v>
      </c>
      <c r="I15" s="268">
        <f t="shared" si="4"/>
        <v>5411</v>
      </c>
      <c r="J15" s="266">
        <f t="shared" si="5"/>
        <v>2.3592346203964065E-2</v>
      </c>
      <c r="K15" s="265">
        <v>23750</v>
      </c>
      <c r="L15" s="273">
        <f t="shared" si="6"/>
        <v>0.64382613510520481</v>
      </c>
      <c r="M15" s="272">
        <f t="shared" si="7"/>
        <v>9302</v>
      </c>
      <c r="N15" s="271">
        <f t="shared" si="8"/>
        <v>3.7283559127800195E-2</v>
      </c>
      <c r="O15" s="265">
        <v>26454</v>
      </c>
      <c r="P15" s="273">
        <f t="shared" si="9"/>
        <v>0.11385263157894743</v>
      </c>
      <c r="Q15" s="272">
        <f t="shared" si="10"/>
        <v>2704</v>
      </c>
      <c r="R15" s="273">
        <f t="shared" si="1"/>
        <v>0.86151572725353609</v>
      </c>
      <c r="S15" s="272">
        <f t="shared" si="2"/>
        <v>12243</v>
      </c>
      <c r="T15" s="271">
        <f t="shared" si="11"/>
        <v>4.1061890858630309E-2</v>
      </c>
      <c r="V15" s="29"/>
      <c r="W15" s="81"/>
      <c r="AE15" s="1"/>
    </row>
    <row r="16" spans="1:31" s="4" customFormat="1" x14ac:dyDescent="0.25">
      <c r="B16" s="248" t="s">
        <v>209</v>
      </c>
      <c r="C16" s="265">
        <f>C6-SUM(C7:C15)</f>
        <v>31376</v>
      </c>
      <c r="D16" s="265">
        <f>D6-SUM(D7:D15)</f>
        <v>8026</v>
      </c>
      <c r="E16" s="265">
        <f>E6-SUM(E7:E15)</f>
        <v>16153</v>
      </c>
      <c r="F16" s="271">
        <f t="shared" si="0"/>
        <v>2.7213165019298383E-2</v>
      </c>
      <c r="G16" s="265">
        <f>G6-SUM(G7:G15)</f>
        <v>15497</v>
      </c>
      <c r="H16" s="273">
        <f t="shared" si="3"/>
        <v>-4.0611651086485456E-2</v>
      </c>
      <c r="I16" s="272">
        <f t="shared" si="4"/>
        <v>-656</v>
      </c>
      <c r="J16" s="271">
        <f t="shared" si="5"/>
        <v>2.5305273333529284E-2</v>
      </c>
      <c r="K16" s="265">
        <f>K6-SUM(K7:K15)</f>
        <v>18134</v>
      </c>
      <c r="L16" s="273">
        <f t="shared" si="6"/>
        <v>0.17016196683229001</v>
      </c>
      <c r="M16" s="272">
        <f t="shared" si="7"/>
        <v>2637</v>
      </c>
      <c r="N16" s="271">
        <f t="shared" si="8"/>
        <v>2.8467370998885418E-2</v>
      </c>
      <c r="O16" s="265">
        <f>O6-SUM(O7:O15)</f>
        <v>20048</v>
      </c>
      <c r="P16" s="273">
        <f t="shared" si="9"/>
        <v>0.10554759016212634</v>
      </c>
      <c r="Q16" s="272">
        <f t="shared" si="10"/>
        <v>1914</v>
      </c>
      <c r="R16" s="273">
        <f t="shared" si="1"/>
        <v>-0.36104028556858747</v>
      </c>
      <c r="S16" s="272">
        <f t="shared" si="2"/>
        <v>-11328</v>
      </c>
      <c r="T16" s="271">
        <f t="shared" si="11"/>
        <v>3.1118499581682182E-2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188</v>
      </c>
    </row>
    <row r="18" spans="2:31" s="4" customFormat="1" x14ac:dyDescent="0.25">
      <c r="B18" s="173" t="s">
        <v>189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190</v>
      </c>
    </row>
    <row r="19" spans="2:31" s="4" customFormat="1" x14ac:dyDescent="0.25">
      <c r="AE19" s="1"/>
    </row>
    <row r="25" spans="2:31" x14ac:dyDescent="0.25">
      <c r="B25" t="s">
        <v>12</v>
      </c>
    </row>
    <row r="42" spans="2:31" s="4" customFormat="1" ht="15.75" hidden="1" customHeight="1" thickBot="1" x14ac:dyDescent="0.3">
      <c r="B42" s="283" t="s">
        <v>191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192</v>
      </c>
      <c r="O44" s="14">
        <v>2021</v>
      </c>
      <c r="P44" s="14" t="s">
        <v>192</v>
      </c>
      <c r="Q44" s="14" t="s">
        <v>193</v>
      </c>
      <c r="R44" s="14" t="s">
        <v>194</v>
      </c>
      <c r="S44" s="14" t="s">
        <v>195</v>
      </c>
      <c r="T44" s="89"/>
      <c r="AE44" s="1"/>
    </row>
    <row r="45" spans="2:31" s="4" customFormat="1" ht="18.75" hidden="1" x14ac:dyDescent="0.3">
      <c r="B45" s="237" t="s">
        <v>179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180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181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182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183</v>
      </c>
    </row>
    <row r="49" spans="2:31" s="4" customFormat="1" hidden="1" x14ac:dyDescent="0.25">
      <c r="B49" s="248" t="s">
        <v>184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185</v>
      </c>
    </row>
    <row r="50" spans="2:31" s="4" customFormat="1" hidden="1" x14ac:dyDescent="0.25">
      <c r="B50" s="248" t="s">
        <v>186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187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188</v>
      </c>
    </row>
    <row r="52" spans="2:31" s="4" customFormat="1" hidden="1" x14ac:dyDescent="0.25">
      <c r="B52" s="282" t="s">
        <v>189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190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31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208</v>
      </c>
      <c r="C136" s="241">
        <v>248294</v>
      </c>
      <c r="D136" s="241">
        <v>384253</v>
      </c>
      <c r="E136" s="241">
        <v>593573</v>
      </c>
      <c r="F136" s="241">
        <v>612402</v>
      </c>
      <c r="G136" s="242">
        <f>F136/E136-1</f>
        <v>3.1721456333087872E-2</v>
      </c>
      <c r="H136" s="241">
        <f>F136-E136</f>
        <v>18829</v>
      </c>
      <c r="I136" s="242">
        <f>F136/F$136</f>
        <v>1</v>
      </c>
      <c r="J136" s="241">
        <v>637010</v>
      </c>
      <c r="K136" s="242">
        <f>H136/H$136</f>
        <v>1</v>
      </c>
      <c r="L136" s="242">
        <f>J136/F136-1</f>
        <v>4.0182755771535739E-2</v>
      </c>
      <c r="M136" s="241">
        <f>J136-F136</f>
        <v>24608</v>
      </c>
      <c r="N136" s="242">
        <f>J136/C136-1</f>
        <v>1.565547294739301</v>
      </c>
      <c r="O136" s="241">
        <f>J136-C136</f>
        <v>388716</v>
      </c>
      <c r="Q136" s="29"/>
      <c r="R136" s="81"/>
      <c r="Z136" s="1" t="s">
        <v>181</v>
      </c>
      <c r="AE136"/>
    </row>
    <row r="137" spans="1:31" s="4" customFormat="1" x14ac:dyDescent="0.25">
      <c r="B137" s="248" t="s">
        <v>47</v>
      </c>
      <c r="C137" s="265">
        <v>49521</v>
      </c>
      <c r="D137" s="265">
        <v>120918</v>
      </c>
      <c r="E137" s="265">
        <v>120397</v>
      </c>
      <c r="F137" s="265">
        <v>106339</v>
      </c>
      <c r="G137" s="271">
        <f t="shared" ref="G137:G146" si="12">F137/E137-1</f>
        <v>-0.11676370673687886</v>
      </c>
      <c r="H137" s="278">
        <f t="shared" ref="H137:H146" si="13">F137-E137</f>
        <v>-14058</v>
      </c>
      <c r="I137" s="273">
        <f t="shared" ref="I137:K146" si="14">F137/F$136</f>
        <v>0.17364247667381882</v>
      </c>
      <c r="J137" s="265">
        <v>101169</v>
      </c>
      <c r="K137" s="273">
        <f t="shared" si="14"/>
        <v>-0.74661426522916774</v>
      </c>
      <c r="L137" s="273">
        <f t="shared" ref="L137:L146" si="15">J137/F137-1</f>
        <v>-4.8618098722011727E-2</v>
      </c>
      <c r="M137" s="272">
        <f t="shared" ref="M137:M146" si="16">J137-F137</f>
        <v>-5170</v>
      </c>
      <c r="N137" s="271">
        <f t="shared" ref="N137:N145" si="17">J137/C137-1</f>
        <v>1.0429514751317623</v>
      </c>
      <c r="O137" s="265">
        <f t="shared" ref="O137:O146" si="18">J137-C137</f>
        <v>51648</v>
      </c>
      <c r="Q137" s="29"/>
      <c r="R137" s="81"/>
      <c r="Z137" s="1" t="s">
        <v>183</v>
      </c>
    </row>
    <row r="138" spans="1:31" s="4" customFormat="1" x14ac:dyDescent="0.25">
      <c r="B138" s="248" t="s">
        <v>48</v>
      </c>
      <c r="C138" s="265">
        <v>26848</v>
      </c>
      <c r="D138" s="265">
        <v>39986</v>
      </c>
      <c r="E138" s="265">
        <v>75857</v>
      </c>
      <c r="F138" s="265">
        <v>66877</v>
      </c>
      <c r="G138" s="271">
        <f t="shared" si="12"/>
        <v>-0.11838063725167092</v>
      </c>
      <c r="H138" s="278">
        <f t="shared" si="13"/>
        <v>-8980</v>
      </c>
      <c r="I138" s="273">
        <f t="shared" si="14"/>
        <v>0.10920441148134721</v>
      </c>
      <c r="J138" s="265">
        <v>64410</v>
      </c>
      <c r="K138" s="273">
        <f t="shared" si="14"/>
        <v>-0.4769238939933082</v>
      </c>
      <c r="L138" s="273">
        <f t="shared" si="15"/>
        <v>-3.6888616415210018E-2</v>
      </c>
      <c r="M138" s="272">
        <f t="shared" si="16"/>
        <v>-2467</v>
      </c>
      <c r="N138" s="271">
        <f t="shared" si="17"/>
        <v>1.3990613825983313</v>
      </c>
      <c r="O138" s="265">
        <f t="shared" si="18"/>
        <v>37562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681</v>
      </c>
      <c r="D139" s="265">
        <v>2535</v>
      </c>
      <c r="E139" s="265">
        <v>3247</v>
      </c>
      <c r="F139" s="265">
        <v>5439</v>
      </c>
      <c r="G139" s="271">
        <f t="shared" si="12"/>
        <v>0.67508469356328926</v>
      </c>
      <c r="H139" s="279">
        <f t="shared" si="13"/>
        <v>2192</v>
      </c>
      <c r="I139" s="277">
        <f t="shared" si="14"/>
        <v>8.8814210273643786E-3</v>
      </c>
      <c r="J139" s="265">
        <v>4225</v>
      </c>
      <c r="K139" s="277">
        <f t="shared" si="14"/>
        <v>0.11641616655159594</v>
      </c>
      <c r="L139" s="273">
        <f t="shared" si="15"/>
        <v>-0.22320279463136605</v>
      </c>
      <c r="M139" s="272">
        <f t="shared" si="16"/>
        <v>-1214</v>
      </c>
      <c r="N139" s="271">
        <f t="shared" si="17"/>
        <v>5.2041116005873711</v>
      </c>
      <c r="O139" s="265">
        <f t="shared" si="18"/>
        <v>3544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74813</v>
      </c>
      <c r="D140" s="265">
        <v>114704</v>
      </c>
      <c r="E140" s="265">
        <v>244952</v>
      </c>
      <c r="F140" s="265">
        <v>250432</v>
      </c>
      <c r="G140" s="271">
        <f t="shared" si="12"/>
        <v>2.2371729971586207E-2</v>
      </c>
      <c r="H140" s="278">
        <f t="shared" si="13"/>
        <v>5480</v>
      </c>
      <c r="I140" s="273">
        <f t="shared" si="14"/>
        <v>0.4089340008687104</v>
      </c>
      <c r="J140" s="265">
        <v>276037</v>
      </c>
      <c r="K140" s="273">
        <f t="shared" si="14"/>
        <v>0.29104041637898986</v>
      </c>
      <c r="L140" s="273">
        <f t="shared" si="15"/>
        <v>0.10224332353692822</v>
      </c>
      <c r="M140" s="272">
        <f t="shared" si="16"/>
        <v>25605</v>
      </c>
      <c r="N140" s="271">
        <f t="shared" si="17"/>
        <v>2.6896929677997141</v>
      </c>
      <c r="O140" s="265">
        <f t="shared" si="18"/>
        <v>201224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25621</v>
      </c>
      <c r="D141" s="265">
        <v>20278</v>
      </c>
      <c r="E141" s="265">
        <v>32271</v>
      </c>
      <c r="F141" s="265">
        <v>36164</v>
      </c>
      <c r="G141" s="271">
        <f t="shared" si="12"/>
        <v>0.12063462551516846</v>
      </c>
      <c r="H141" s="279">
        <f t="shared" si="13"/>
        <v>3893</v>
      </c>
      <c r="I141" s="277">
        <f t="shared" si="14"/>
        <v>5.9052713740320902E-2</v>
      </c>
      <c r="J141" s="265">
        <v>33708</v>
      </c>
      <c r="K141" s="277">
        <f t="shared" si="14"/>
        <v>0.20675553667215466</v>
      </c>
      <c r="L141" s="273">
        <f t="shared" si="15"/>
        <v>-6.791284149983412E-2</v>
      </c>
      <c r="M141" s="272">
        <f t="shared" si="16"/>
        <v>-2456</v>
      </c>
      <c r="N141" s="271">
        <f t="shared" si="17"/>
        <v>0.31563951446079397</v>
      </c>
      <c r="O141" s="265">
        <f t="shared" si="18"/>
        <v>8087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33780</v>
      </c>
      <c r="D142" s="265">
        <v>51310</v>
      </c>
      <c r="E142" s="265">
        <v>65021</v>
      </c>
      <c r="F142" s="265">
        <v>80189</v>
      </c>
      <c r="G142" s="271">
        <f t="shared" si="12"/>
        <v>0.23327847926054668</v>
      </c>
      <c r="H142" s="278">
        <f t="shared" si="13"/>
        <v>15168</v>
      </c>
      <c r="I142" s="273">
        <f t="shared" si="14"/>
        <v>0.13094176700925209</v>
      </c>
      <c r="J142" s="265">
        <v>80800</v>
      </c>
      <c r="K142" s="273">
        <f t="shared" si="14"/>
        <v>0.80556588241542304</v>
      </c>
      <c r="L142" s="273">
        <f t="shared" si="15"/>
        <v>7.6194989337690089E-3</v>
      </c>
      <c r="M142" s="272">
        <f t="shared" si="16"/>
        <v>611</v>
      </c>
      <c r="N142" s="271">
        <f t="shared" si="17"/>
        <v>1.3919478981645943</v>
      </c>
      <c r="O142" s="265">
        <f t="shared" si="18"/>
        <v>47020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7339</v>
      </c>
      <c r="D143" s="265">
        <v>10731</v>
      </c>
      <c r="E143" s="265">
        <v>17520</v>
      </c>
      <c r="F143" s="265">
        <v>25698</v>
      </c>
      <c r="G143" s="271">
        <f t="shared" si="12"/>
        <v>0.46678082191780823</v>
      </c>
      <c r="H143" s="279">
        <f t="shared" si="13"/>
        <v>8178</v>
      </c>
      <c r="I143" s="277">
        <f t="shared" si="14"/>
        <v>4.1962632388529104E-2</v>
      </c>
      <c r="J143" s="265">
        <v>23944</v>
      </c>
      <c r="K143" s="277">
        <f t="shared" si="14"/>
        <v>0.43433002283711297</v>
      </c>
      <c r="L143" s="273">
        <f t="shared" si="15"/>
        <v>-6.8254338859055186E-2</v>
      </c>
      <c r="M143" s="272">
        <f t="shared" si="16"/>
        <v>-1754</v>
      </c>
      <c r="N143" s="271">
        <f t="shared" si="17"/>
        <v>2.2625698324022347</v>
      </c>
      <c r="O143" s="265">
        <f t="shared" si="18"/>
        <v>16605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6781</v>
      </c>
      <c r="D144" s="265">
        <v>11021</v>
      </c>
      <c r="E144" s="265">
        <v>9118</v>
      </c>
      <c r="F144" s="265">
        <v>11319</v>
      </c>
      <c r="G144" s="271">
        <f t="shared" si="12"/>
        <v>0.24139065584558028</v>
      </c>
      <c r="H144" s="278">
        <f t="shared" si="13"/>
        <v>2201</v>
      </c>
      <c r="I144" s="273">
        <f t="shared" si="14"/>
        <v>1.8482957273163705E-2</v>
      </c>
      <c r="J144" s="265">
        <v>10833</v>
      </c>
      <c r="K144" s="273">
        <f t="shared" si="14"/>
        <v>0.1168941526368899</v>
      </c>
      <c r="L144" s="273">
        <f t="shared" si="15"/>
        <v>-4.2936655181553096E-2</v>
      </c>
      <c r="M144" s="272">
        <f t="shared" si="16"/>
        <v>-486</v>
      </c>
      <c r="N144" s="271">
        <f t="shared" si="17"/>
        <v>0.59755198348326211</v>
      </c>
      <c r="O144" s="265">
        <f t="shared" si="18"/>
        <v>4052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15343</v>
      </c>
      <c r="D145" s="265">
        <v>4744</v>
      </c>
      <c r="E145" s="265">
        <v>9037</v>
      </c>
      <c r="F145" s="265">
        <v>14448</v>
      </c>
      <c r="G145" s="271">
        <f t="shared" si="12"/>
        <v>0.59876065065840445</v>
      </c>
      <c r="H145" s="279">
        <f t="shared" si="13"/>
        <v>5411</v>
      </c>
      <c r="I145" s="277">
        <f t="shared" si="14"/>
        <v>2.3592346203964065E-2</v>
      </c>
      <c r="J145" s="265">
        <v>23750</v>
      </c>
      <c r="K145" s="277">
        <f t="shared" si="14"/>
        <v>0.28737585639173613</v>
      </c>
      <c r="L145" s="273">
        <f t="shared" si="15"/>
        <v>0.64382613510520481</v>
      </c>
      <c r="M145" s="272">
        <f t="shared" si="16"/>
        <v>9302</v>
      </c>
      <c r="N145" s="271">
        <f t="shared" si="17"/>
        <v>0.54793717004497156</v>
      </c>
      <c r="O145" s="265">
        <f t="shared" si="18"/>
        <v>8407</v>
      </c>
      <c r="Q145" s="29"/>
      <c r="R145" s="81"/>
      <c r="Z145" s="1"/>
    </row>
    <row r="146" spans="2:31" s="4" customFormat="1" x14ac:dyDescent="0.25">
      <c r="B146" s="248" t="s">
        <v>209</v>
      </c>
      <c r="C146" s="265">
        <f>C136-SUM(C137:C145)</f>
        <v>7567</v>
      </c>
      <c r="D146" s="265">
        <f>D136-SUM(D137:D145)</f>
        <v>8026</v>
      </c>
      <c r="E146" s="265">
        <f>E136-SUM(E137:E145)</f>
        <v>16153</v>
      </c>
      <c r="F146" s="265">
        <f>F136-SUM(F137:F145)</f>
        <v>15497</v>
      </c>
      <c r="G146" s="271">
        <f t="shared" si="12"/>
        <v>-4.0611651086485456E-2</v>
      </c>
      <c r="H146" s="278">
        <f t="shared" si="13"/>
        <v>-656</v>
      </c>
      <c r="I146" s="273">
        <f t="shared" si="14"/>
        <v>2.5305273333529284E-2</v>
      </c>
      <c r="J146" s="265">
        <f>J136-SUM(J137:J145)</f>
        <v>18134</v>
      </c>
      <c r="K146" s="273">
        <f t="shared" si="14"/>
        <v>-3.4839874661426525E-2</v>
      </c>
      <c r="L146" s="273">
        <f t="shared" si="15"/>
        <v>0.17016196683229001</v>
      </c>
      <c r="M146" s="272">
        <f t="shared" si="16"/>
        <v>2637</v>
      </c>
      <c r="N146" s="271">
        <f>J146/C146-1</f>
        <v>1.3964583058015068</v>
      </c>
      <c r="O146" s="265">
        <f t="shared" si="18"/>
        <v>10567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188</v>
      </c>
    </row>
    <row r="148" spans="2:31" s="4" customFormat="1" x14ac:dyDescent="0.25">
      <c r="B148" s="173" t="s">
        <v>189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190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11D5-634D-41D3-8995-EC90532EDEAB}">
  <sheetPr>
    <tabColor theme="4" tint="0.39997558519241921"/>
  </sheetPr>
  <dimension ref="A1:AE149"/>
  <sheetViews>
    <sheetView showGridLines="0" zoomScaleNormal="100" workbookViewId="0">
      <selection activeCell="H9" sqref="H9"/>
    </sheetView>
  </sheetViews>
  <sheetFormatPr baseColWidth="10" defaultRowHeight="15" x14ac:dyDescent="0.25"/>
  <cols>
    <col min="1" max="1" width="17.7109375" customWidth="1"/>
    <col min="2" max="2" width="33.5703125" customWidth="1"/>
    <col min="3" max="13" width="14.7109375" customWidth="1"/>
    <col min="14" max="14" width="11.42578125" customWidth="1"/>
    <col min="15" max="15" width="14.7109375" customWidth="1"/>
    <col min="27" max="27" width="14" customWidth="1"/>
    <col min="31" max="31" width="11.42578125" style="1"/>
  </cols>
  <sheetData>
    <row r="1" spans="1:31" ht="30" customHeight="1" x14ac:dyDescent="0.25">
      <c r="B1" s="1" t="s">
        <v>211</v>
      </c>
      <c r="G1" s="236"/>
      <c r="H1" s="236"/>
      <c r="I1" s="236"/>
      <c r="K1" s="236"/>
    </row>
    <row r="3" spans="1:31" s="4" customFormat="1" ht="25.5" customHeight="1" thickBot="1" x14ac:dyDescent="0.3">
      <c r="B3" s="64" t="s">
        <v>32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AE3" s="1"/>
    </row>
    <row r="4" spans="1:31" s="4" customFormat="1" ht="6" customHeight="1" x14ac:dyDescent="0.25">
      <c r="AE4" s="1"/>
    </row>
    <row r="5" spans="1:31" s="4" customFormat="1" ht="45" x14ac:dyDescent="0.25">
      <c r="C5" s="254" t="s">
        <v>267</v>
      </c>
      <c r="D5" s="254" t="s">
        <v>268</v>
      </c>
      <c r="E5" s="254" t="s">
        <v>269</v>
      </c>
      <c r="F5" s="255" t="str">
        <f>CONCATENATE("%/s total Tenerife ",RIGHT(E5,4))</f>
        <v>%/s total Tenerife 2022</v>
      </c>
      <c r="G5" s="254" t="s">
        <v>270</v>
      </c>
      <c r="H5" s="255" t="str">
        <f>CONCATENATE("var. ",RIGHT(G5,2),"/",RIGHT(E5,2))</f>
        <v>var. 23/22</v>
      </c>
      <c r="I5" s="255" t="str">
        <f>CONCATENATE("dif. ",RIGHT(G5,2),"/",RIGHT(E5,2))</f>
        <v>dif. 23/22</v>
      </c>
      <c r="J5" s="255" t="str">
        <f>CONCATENATE("%/s total Tenerife ",RIGHT(G5,4))</f>
        <v>%/s total Tenerife 2023</v>
      </c>
      <c r="K5" s="254" t="s">
        <v>271</v>
      </c>
      <c r="L5" s="255" t="str">
        <f>CONCATENATE("var. ",RIGHT(K5,2),"/",RIGHT(G5,2))</f>
        <v>var. 24/23</v>
      </c>
      <c r="M5" s="255" t="str">
        <f>CONCATENATE("dif. ",RIGHT(K5,2),"/",RIGHT(G5,2))</f>
        <v>dif. 24/23</v>
      </c>
      <c r="N5" s="255" t="str">
        <f>CONCATENATE("%/s total Tenerife ",RIGHT(K5,4))</f>
        <v>%/s total Tenerife 2024</v>
      </c>
      <c r="O5" s="254" t="s">
        <v>272</v>
      </c>
      <c r="P5" s="255" t="str">
        <f>CONCATENATE("var. ",RIGHT(O5,2),"/",RIGHT(K5,2))</f>
        <v>var. 25/24</v>
      </c>
      <c r="Q5" s="255" t="str">
        <f>CONCATENATE("dif. ",RIGHT(O5,2),"/",RIGHT(K5,2))</f>
        <v>dif. 25/24</v>
      </c>
      <c r="R5" s="255" t="str">
        <f>CONCATENATE("var. ",RIGHT(O5,2),"/",RIGHT(C5,2))</f>
        <v>var. 25/20</v>
      </c>
      <c r="S5" s="255" t="str">
        <f>CONCATENATE("dif. ",RIGHT(O5,2),"/",RIGHT(C5,2))</f>
        <v>dif. 25/20</v>
      </c>
      <c r="T5" s="255" t="str">
        <f>CONCATENATE("%/s total Tenerife ",RIGHT(O5,4))</f>
        <v>%/s total Tenerife 2025</v>
      </c>
      <c r="AE5" s="1"/>
    </row>
    <row r="6" spans="1:31" ht="18.75" x14ac:dyDescent="0.3">
      <c r="A6" s="4"/>
      <c r="B6" s="237" t="s">
        <v>208</v>
      </c>
      <c r="C6" s="256">
        <v>208389</v>
      </c>
      <c r="D6" s="256">
        <v>416048</v>
      </c>
      <c r="E6" s="256">
        <v>423208</v>
      </c>
      <c r="F6" s="257">
        <f>E6/$E$6</f>
        <v>1</v>
      </c>
      <c r="G6" s="256">
        <v>430319</v>
      </c>
      <c r="H6" s="257">
        <f>G6/E6-1</f>
        <v>1.6802612426986219E-2</v>
      </c>
      <c r="I6" s="256">
        <f>G6-E6</f>
        <v>7111</v>
      </c>
      <c r="J6" s="257">
        <f>G6/$G$6</f>
        <v>1</v>
      </c>
      <c r="K6" s="256">
        <v>422024</v>
      </c>
      <c r="L6" s="257">
        <f>K6/G6-1</f>
        <v>-1.9276397277368629E-2</v>
      </c>
      <c r="M6" s="256">
        <f>K6-G6</f>
        <v>-8295</v>
      </c>
      <c r="N6" s="257">
        <f>K6/$K$6</f>
        <v>1</v>
      </c>
      <c r="O6" s="256">
        <v>424160</v>
      </c>
      <c r="P6" s="257">
        <f>O6/K6-1</f>
        <v>5.0613235266241396E-3</v>
      </c>
      <c r="Q6" s="256">
        <f>O6-K6</f>
        <v>2136</v>
      </c>
      <c r="R6" s="257">
        <f>IFERROR(O6/C6-1,"-")</f>
        <v>1.0354241346712159</v>
      </c>
      <c r="S6" s="256">
        <f>O6-C6</f>
        <v>215771</v>
      </c>
      <c r="T6" s="257">
        <f>O6/$O$6</f>
        <v>1</v>
      </c>
      <c r="V6" s="29"/>
      <c r="W6" s="81"/>
      <c r="AE6" s="1" t="s">
        <v>181</v>
      </c>
    </row>
    <row r="7" spans="1:31" s="4" customFormat="1" x14ac:dyDescent="0.25">
      <c r="B7" s="248" t="s">
        <v>47</v>
      </c>
      <c r="C7" s="265">
        <v>58508</v>
      </c>
      <c r="D7" s="265">
        <v>126666</v>
      </c>
      <c r="E7" s="265">
        <v>86811</v>
      </c>
      <c r="F7" s="271">
        <f t="shared" ref="F7:F16" si="0">E7/$E$6</f>
        <v>0.20512608457307044</v>
      </c>
      <c r="G7" s="265">
        <v>75361</v>
      </c>
      <c r="H7" s="273">
        <f>G7/E7-1</f>
        <v>-0.13189572749997125</v>
      </c>
      <c r="I7" s="272">
        <f>G7-E7</f>
        <v>-11450</v>
      </c>
      <c r="J7" s="271">
        <f>G7/$G$6</f>
        <v>0.17512821883300528</v>
      </c>
      <c r="K7" s="265">
        <v>60679</v>
      </c>
      <c r="L7" s="273">
        <f>K7/G7-1</f>
        <v>-0.19482225554331811</v>
      </c>
      <c r="M7" s="272">
        <f>K7-G7</f>
        <v>-14682</v>
      </c>
      <c r="N7" s="271">
        <f>K7/$K$6</f>
        <v>0.14378092241199553</v>
      </c>
      <c r="O7" s="265">
        <v>67419</v>
      </c>
      <c r="P7" s="273">
        <f>O7/K7-1</f>
        <v>0.11107631964930209</v>
      </c>
      <c r="Q7" s="272">
        <f>O7-K7</f>
        <v>6740</v>
      </c>
      <c r="R7" s="273">
        <f t="shared" ref="R7:R16" si="1">IFERROR(O7/C7-1,"-")</f>
        <v>0.15230395843303479</v>
      </c>
      <c r="S7" s="272">
        <f t="shared" ref="S7:S16" si="2">O7-C7</f>
        <v>8911</v>
      </c>
      <c r="T7" s="271">
        <f>O7/$O$6</f>
        <v>0.15894709543568464</v>
      </c>
      <c r="V7" s="29"/>
      <c r="W7" s="81"/>
      <c r="AE7" s="1" t="s">
        <v>183</v>
      </c>
    </row>
    <row r="8" spans="1:31" s="4" customFormat="1" x14ac:dyDescent="0.25">
      <c r="B8" s="248" t="s">
        <v>48</v>
      </c>
      <c r="C8" s="265">
        <v>23289</v>
      </c>
      <c r="D8" s="265">
        <v>43482</v>
      </c>
      <c r="E8" s="265">
        <v>48094</v>
      </c>
      <c r="F8" s="271">
        <f t="shared" si="0"/>
        <v>0.11364151906391183</v>
      </c>
      <c r="G8" s="265">
        <v>52610</v>
      </c>
      <c r="H8" s="273">
        <f t="shared" ref="H8:H16" si="3">G8/E8-1</f>
        <v>9.3899446916455354E-2</v>
      </c>
      <c r="I8" s="272">
        <f t="shared" ref="I8:I16" si="4">G8-E8</f>
        <v>4516</v>
      </c>
      <c r="J8" s="271">
        <f t="shared" ref="J8:J16" si="5">G8/$G$6</f>
        <v>0.1222581387296401</v>
      </c>
      <c r="K8" s="265">
        <v>50222</v>
      </c>
      <c r="L8" s="273">
        <f t="shared" ref="L8:L16" si="6">K8/G8-1</f>
        <v>-4.5390610150161548E-2</v>
      </c>
      <c r="M8" s="272">
        <f t="shared" ref="M8:M16" si="7">K8-G8</f>
        <v>-2388</v>
      </c>
      <c r="N8" s="271">
        <f t="shared" ref="N8:N16" si="8">K8/$K$6</f>
        <v>0.11900271074630826</v>
      </c>
      <c r="O8" s="265">
        <v>51408</v>
      </c>
      <c r="P8" s="273">
        <f t="shared" ref="P8:P16" si="9">O8/K8-1</f>
        <v>2.3615148739596137E-2</v>
      </c>
      <c r="Q8" s="272">
        <f t="shared" ref="Q8:Q16" si="10">O8-K8</f>
        <v>1186</v>
      </c>
      <c r="R8" s="273">
        <f t="shared" si="1"/>
        <v>1.2073940486925157</v>
      </c>
      <c r="S8" s="272">
        <f t="shared" si="2"/>
        <v>28119</v>
      </c>
      <c r="T8" s="271">
        <f t="shared" ref="T8:T16" si="11">O8/$O$6</f>
        <v>0.12119954734062618</v>
      </c>
      <c r="V8" s="29"/>
      <c r="W8" s="81"/>
      <c r="AE8" s="1"/>
    </row>
    <row r="9" spans="1:31" s="4" customFormat="1" x14ac:dyDescent="0.25">
      <c r="B9" s="248" t="s">
        <v>49</v>
      </c>
      <c r="C9" s="265">
        <v>1654</v>
      </c>
      <c r="D9" s="265">
        <v>2415</v>
      </c>
      <c r="E9" s="265">
        <v>3515</v>
      </c>
      <c r="F9" s="266">
        <f t="shared" si="0"/>
        <v>8.3056085896296861E-3</v>
      </c>
      <c r="G9" s="265">
        <v>14856</v>
      </c>
      <c r="H9" s="277">
        <f t="shared" si="3"/>
        <v>3.2264580369843525</v>
      </c>
      <c r="I9" s="268">
        <f t="shared" si="4"/>
        <v>11341</v>
      </c>
      <c r="J9" s="266">
        <f t="shared" si="5"/>
        <v>3.4523225792958245E-2</v>
      </c>
      <c r="K9" s="265">
        <v>7765</v>
      </c>
      <c r="L9" s="273">
        <f t="shared" si="6"/>
        <v>-0.47731556273559506</v>
      </c>
      <c r="M9" s="272">
        <f t="shared" si="7"/>
        <v>-7091</v>
      </c>
      <c r="N9" s="271">
        <f t="shared" si="8"/>
        <v>1.8399427520709721E-2</v>
      </c>
      <c r="O9" s="265">
        <v>5908</v>
      </c>
      <c r="P9" s="273">
        <f t="shared" si="9"/>
        <v>-0.23915003219575015</v>
      </c>
      <c r="Q9" s="272">
        <f t="shared" si="10"/>
        <v>-1857</v>
      </c>
      <c r="R9" s="273">
        <f t="shared" si="1"/>
        <v>2.5719467956469164</v>
      </c>
      <c r="S9" s="272">
        <f t="shared" si="2"/>
        <v>4254</v>
      </c>
      <c r="T9" s="271">
        <f t="shared" si="11"/>
        <v>1.3928706148623161E-2</v>
      </c>
      <c r="V9" s="29"/>
      <c r="W9" s="81"/>
      <c r="AE9" s="1"/>
    </row>
    <row r="10" spans="1:31" s="4" customFormat="1" x14ac:dyDescent="0.25">
      <c r="B10" s="248" t="s">
        <v>51</v>
      </c>
      <c r="C10" s="265">
        <v>25393</v>
      </c>
      <c r="D10" s="265">
        <v>66989</v>
      </c>
      <c r="E10" s="265">
        <v>97391</v>
      </c>
      <c r="F10" s="271">
        <f t="shared" si="0"/>
        <v>0.23012561199221188</v>
      </c>
      <c r="G10" s="265">
        <v>92865</v>
      </c>
      <c r="H10" s="273">
        <f t="shared" si="3"/>
        <v>-4.6472466655029687E-2</v>
      </c>
      <c r="I10" s="272">
        <f t="shared" si="4"/>
        <v>-4526</v>
      </c>
      <c r="J10" s="271">
        <f t="shared" si="5"/>
        <v>0.21580501906725011</v>
      </c>
      <c r="K10" s="265">
        <v>106402</v>
      </c>
      <c r="L10" s="273">
        <f t="shared" si="6"/>
        <v>0.14577074247563671</v>
      </c>
      <c r="M10" s="272">
        <f t="shared" si="7"/>
        <v>13537</v>
      </c>
      <c r="N10" s="271">
        <f t="shared" si="8"/>
        <v>0.25212310200367749</v>
      </c>
      <c r="O10" s="265">
        <v>104050</v>
      </c>
      <c r="P10" s="273">
        <f t="shared" si="9"/>
        <v>-2.2104847653239612E-2</v>
      </c>
      <c r="Q10" s="272">
        <f t="shared" si="10"/>
        <v>-2352</v>
      </c>
      <c r="R10" s="273">
        <f t="shared" si="1"/>
        <v>3.0975859488835509</v>
      </c>
      <c r="S10" s="272">
        <f t="shared" si="2"/>
        <v>78657</v>
      </c>
      <c r="T10" s="271">
        <f>O10/$O$6</f>
        <v>0.2453083741984157</v>
      </c>
      <c r="V10" s="29"/>
      <c r="W10" s="81"/>
      <c r="AE10" s="1"/>
    </row>
    <row r="11" spans="1:31" s="4" customFormat="1" x14ac:dyDescent="0.25">
      <c r="B11" s="248" t="s">
        <v>53</v>
      </c>
      <c r="C11" s="265">
        <v>4832</v>
      </c>
      <c r="D11" s="265">
        <v>24120</v>
      </c>
      <c r="E11" s="265">
        <v>16359</v>
      </c>
      <c r="F11" s="266">
        <f t="shared" si="0"/>
        <v>3.8654751327952215E-2</v>
      </c>
      <c r="G11" s="265">
        <v>19520</v>
      </c>
      <c r="H11" s="277">
        <f t="shared" si="3"/>
        <v>0.19322696986368371</v>
      </c>
      <c r="I11" s="268">
        <f t="shared" si="4"/>
        <v>3161</v>
      </c>
      <c r="J11" s="266">
        <f t="shared" si="5"/>
        <v>4.5361696787731894E-2</v>
      </c>
      <c r="K11" s="265">
        <v>16099</v>
      </c>
      <c r="L11" s="273">
        <f t="shared" si="6"/>
        <v>-0.17525614754098362</v>
      </c>
      <c r="M11" s="272">
        <f t="shared" si="7"/>
        <v>-3421</v>
      </c>
      <c r="N11" s="271">
        <f t="shared" si="8"/>
        <v>3.814711959509412E-2</v>
      </c>
      <c r="O11" s="265">
        <v>20486</v>
      </c>
      <c r="P11" s="273">
        <f t="shared" si="9"/>
        <v>0.2725013976023356</v>
      </c>
      <c r="Q11" s="272">
        <f t="shared" si="10"/>
        <v>4387</v>
      </c>
      <c r="R11" s="273">
        <f t="shared" si="1"/>
        <v>3.239652317880795</v>
      </c>
      <c r="S11" s="272">
        <f t="shared" si="2"/>
        <v>15654</v>
      </c>
      <c r="T11" s="271">
        <f t="shared" si="11"/>
        <v>4.8297812146359864E-2</v>
      </c>
      <c r="V11" s="29"/>
      <c r="W11" s="81"/>
      <c r="AE11" s="1"/>
    </row>
    <row r="12" spans="1:31" s="4" customFormat="1" x14ac:dyDescent="0.25">
      <c r="B12" s="248" t="s">
        <v>54</v>
      </c>
      <c r="C12" s="265">
        <v>24076</v>
      </c>
      <c r="D12" s="265">
        <v>53247</v>
      </c>
      <c r="E12" s="265">
        <v>69865</v>
      </c>
      <c r="F12" s="271">
        <f t="shared" si="0"/>
        <v>0.16508430842517155</v>
      </c>
      <c r="G12" s="265">
        <v>67025</v>
      </c>
      <c r="H12" s="273">
        <f t="shared" si="3"/>
        <v>-4.0649824661847855E-2</v>
      </c>
      <c r="I12" s="272">
        <f t="shared" si="4"/>
        <v>-2840</v>
      </c>
      <c r="J12" s="271">
        <f t="shared" si="5"/>
        <v>0.15575654340152306</v>
      </c>
      <c r="K12" s="265">
        <v>75188</v>
      </c>
      <c r="L12" s="273">
        <f t="shared" si="6"/>
        <v>0.12179037672510251</v>
      </c>
      <c r="M12" s="272">
        <f t="shared" si="7"/>
        <v>8163</v>
      </c>
      <c r="N12" s="271">
        <f t="shared" si="8"/>
        <v>0.17816048376395655</v>
      </c>
      <c r="O12" s="265">
        <v>93462</v>
      </c>
      <c r="P12" s="273">
        <f t="shared" si="9"/>
        <v>0.24304410278235888</v>
      </c>
      <c r="Q12" s="272">
        <f t="shared" si="10"/>
        <v>18274</v>
      </c>
      <c r="R12" s="273">
        <f t="shared" si="1"/>
        <v>2.8819571357368332</v>
      </c>
      <c r="S12" s="272">
        <f t="shared" si="2"/>
        <v>69386</v>
      </c>
      <c r="T12" s="271">
        <f t="shared" si="11"/>
        <v>0.22034609581290079</v>
      </c>
      <c r="V12" s="29"/>
      <c r="W12" s="81"/>
      <c r="AE12" s="1"/>
    </row>
    <row r="13" spans="1:31" s="4" customFormat="1" x14ac:dyDescent="0.25">
      <c r="B13" s="248" t="s">
        <v>52</v>
      </c>
      <c r="C13" s="265">
        <v>8025</v>
      </c>
      <c r="D13" s="265">
        <v>11001</v>
      </c>
      <c r="E13" s="265">
        <v>16289</v>
      </c>
      <c r="F13" s="266">
        <f t="shared" si="0"/>
        <v>3.8489348027447495E-2</v>
      </c>
      <c r="G13" s="265">
        <v>12024</v>
      </c>
      <c r="H13" s="277">
        <f t="shared" si="3"/>
        <v>-0.261833138928111</v>
      </c>
      <c r="I13" s="268">
        <f t="shared" si="4"/>
        <v>-4265</v>
      </c>
      <c r="J13" s="266">
        <f t="shared" si="5"/>
        <v>2.7942061586869276E-2</v>
      </c>
      <c r="K13" s="265">
        <v>11877</v>
      </c>
      <c r="L13" s="273">
        <f t="shared" si="6"/>
        <v>-1.2225548902195627E-2</v>
      </c>
      <c r="M13" s="272">
        <f t="shared" si="7"/>
        <v>-147</v>
      </c>
      <c r="N13" s="271">
        <f t="shared" si="8"/>
        <v>2.8142949216158324E-2</v>
      </c>
      <c r="O13" s="265">
        <v>13687</v>
      </c>
      <c r="P13" s="273">
        <f t="shared" si="9"/>
        <v>0.15239538604024583</v>
      </c>
      <c r="Q13" s="272">
        <f t="shared" si="10"/>
        <v>1810</v>
      </c>
      <c r="R13" s="273">
        <f t="shared" si="1"/>
        <v>0.70554517133956396</v>
      </c>
      <c r="S13" s="272">
        <f t="shared" si="2"/>
        <v>5662</v>
      </c>
      <c r="T13" s="271">
        <f t="shared" si="11"/>
        <v>3.2268483591097699E-2</v>
      </c>
      <c r="V13" s="29"/>
      <c r="W13" s="81"/>
      <c r="AE13" s="1"/>
    </row>
    <row r="14" spans="1:31" s="4" customFormat="1" x14ac:dyDescent="0.25">
      <c r="B14" s="248" t="s">
        <v>55</v>
      </c>
      <c r="C14" s="265">
        <v>16209</v>
      </c>
      <c r="D14" s="265">
        <v>34195</v>
      </c>
      <c r="E14" s="265">
        <v>19943</v>
      </c>
      <c r="F14" s="271">
        <f t="shared" si="0"/>
        <v>4.7123400313793688E-2</v>
      </c>
      <c r="G14" s="265">
        <v>22352</v>
      </c>
      <c r="H14" s="273">
        <f t="shared" si="3"/>
        <v>0.12079426365140655</v>
      </c>
      <c r="I14" s="272">
        <f t="shared" si="4"/>
        <v>2409</v>
      </c>
      <c r="J14" s="271">
        <f t="shared" si="5"/>
        <v>5.1942860993820866E-2</v>
      </c>
      <c r="K14" s="265">
        <v>18376</v>
      </c>
      <c r="L14" s="273">
        <f t="shared" si="6"/>
        <v>-0.17788117394416603</v>
      </c>
      <c r="M14" s="272">
        <f t="shared" si="7"/>
        <v>-3976</v>
      </c>
      <c r="N14" s="271">
        <f t="shared" si="8"/>
        <v>4.3542547343279052E-2</v>
      </c>
      <c r="O14" s="265">
        <v>19606</v>
      </c>
      <c r="P14" s="273">
        <f t="shared" si="9"/>
        <v>6.693513278188945E-2</v>
      </c>
      <c r="Q14" s="272">
        <f t="shared" si="10"/>
        <v>1230</v>
      </c>
      <c r="R14" s="273">
        <f t="shared" si="1"/>
        <v>0.20957492750940832</v>
      </c>
      <c r="S14" s="272">
        <f t="shared" si="2"/>
        <v>3397</v>
      </c>
      <c r="T14" s="271">
        <f t="shared" si="11"/>
        <v>4.6223123349679367E-2</v>
      </c>
      <c r="V14" s="29"/>
      <c r="W14" s="81"/>
      <c r="AE14" s="1"/>
    </row>
    <row r="15" spans="1:31" s="4" customFormat="1" x14ac:dyDescent="0.25">
      <c r="B15" s="248" t="s">
        <v>50</v>
      </c>
      <c r="C15" s="265">
        <v>8022</v>
      </c>
      <c r="D15" s="265">
        <v>21567</v>
      </c>
      <c r="E15" s="265">
        <v>23338</v>
      </c>
      <c r="F15" s="266">
        <f t="shared" si="0"/>
        <v>5.5145460388272435E-2</v>
      </c>
      <c r="G15" s="265">
        <v>29399</v>
      </c>
      <c r="H15" s="277">
        <f t="shared" si="3"/>
        <v>0.25970520181677959</v>
      </c>
      <c r="I15" s="268">
        <f t="shared" si="4"/>
        <v>6061</v>
      </c>
      <c r="J15" s="266">
        <f t="shared" si="5"/>
        <v>6.8319084214268952E-2</v>
      </c>
      <c r="K15" s="265">
        <v>37562</v>
      </c>
      <c r="L15" s="273">
        <f t="shared" si="6"/>
        <v>0.27766250552739891</v>
      </c>
      <c r="M15" s="272">
        <f t="shared" si="7"/>
        <v>8163</v>
      </c>
      <c r="N15" s="271">
        <f t="shared" si="8"/>
        <v>8.900441681041836E-2</v>
      </c>
      <c r="O15" s="265">
        <v>16499</v>
      </c>
      <c r="P15" s="273">
        <f t="shared" si="9"/>
        <v>-0.56075288855758476</v>
      </c>
      <c r="Q15" s="272">
        <f t="shared" si="10"/>
        <v>-21063</v>
      </c>
      <c r="R15" s="273">
        <f t="shared" si="1"/>
        <v>1.0567190226876089</v>
      </c>
      <c r="S15" s="272">
        <f t="shared" si="2"/>
        <v>8477</v>
      </c>
      <c r="T15" s="271">
        <f t="shared" si="11"/>
        <v>3.8898057336854017E-2</v>
      </c>
      <c r="V15" s="29"/>
      <c r="W15" s="81"/>
      <c r="AE15" s="1"/>
    </row>
    <row r="16" spans="1:31" s="4" customFormat="1" x14ac:dyDescent="0.25">
      <c r="B16" s="248" t="s">
        <v>209</v>
      </c>
      <c r="C16" s="265">
        <f>C6-SUM(C7:C15)</f>
        <v>38381</v>
      </c>
      <c r="D16" s="265">
        <f>D6-SUM(D7:D15)</f>
        <v>32366</v>
      </c>
      <c r="E16" s="265">
        <f>E6-SUM(E7:E15)</f>
        <v>41603</v>
      </c>
      <c r="F16" s="271">
        <f t="shared" si="0"/>
        <v>9.8303907298538787E-2</v>
      </c>
      <c r="G16" s="265">
        <f>G6-SUM(G7:G15)</f>
        <v>44307</v>
      </c>
      <c r="H16" s="273">
        <f t="shared" si="3"/>
        <v>6.4995312838016517E-2</v>
      </c>
      <c r="I16" s="272">
        <f t="shared" si="4"/>
        <v>2704</v>
      </c>
      <c r="J16" s="271">
        <f t="shared" si="5"/>
        <v>0.10296315059293222</v>
      </c>
      <c r="K16" s="265">
        <f>K6-SUM(K7:K15)</f>
        <v>37854</v>
      </c>
      <c r="L16" s="273">
        <f t="shared" si="6"/>
        <v>-0.14564290067032293</v>
      </c>
      <c r="M16" s="272">
        <f t="shared" si="7"/>
        <v>-6453</v>
      </c>
      <c r="N16" s="271">
        <f t="shared" si="8"/>
        <v>8.9696320588402559E-2</v>
      </c>
      <c r="O16" s="265">
        <f>O6-SUM(O7:O15)</f>
        <v>31635</v>
      </c>
      <c r="P16" s="273">
        <f t="shared" si="9"/>
        <v>-0.16428911079410369</v>
      </c>
      <c r="Q16" s="272">
        <f t="shared" si="10"/>
        <v>-6219</v>
      </c>
      <c r="R16" s="273">
        <f t="shared" si="1"/>
        <v>-0.17576404992053363</v>
      </c>
      <c r="S16" s="272">
        <f t="shared" si="2"/>
        <v>-6746</v>
      </c>
      <c r="T16" s="271">
        <f t="shared" si="11"/>
        <v>7.4582704639758579E-2</v>
      </c>
      <c r="V16" s="29"/>
      <c r="W16" s="81"/>
      <c r="AE16" s="1"/>
    </row>
    <row r="17" spans="2:31" s="4" customFormat="1" ht="7.5" customHeight="1" x14ac:dyDescent="0.25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AE17" s="1" t="s">
        <v>188</v>
      </c>
    </row>
    <row r="18" spans="2:31" s="4" customFormat="1" x14ac:dyDescent="0.25">
      <c r="B18" s="173" t="s">
        <v>189</v>
      </c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AE18" s="1" t="s">
        <v>190</v>
      </c>
    </row>
    <row r="19" spans="2:31" s="4" customFormat="1" x14ac:dyDescent="0.25">
      <c r="AE19" s="1"/>
    </row>
    <row r="25" spans="2:31" x14ac:dyDescent="0.25">
      <c r="B25" t="s">
        <v>12</v>
      </c>
    </row>
    <row r="42" spans="2:31" s="4" customFormat="1" ht="15.75" hidden="1" customHeight="1" thickBot="1" x14ac:dyDescent="0.3">
      <c r="B42" s="283" t="s">
        <v>191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85"/>
      <c r="AE42" s="1"/>
    </row>
    <row r="43" spans="2:31" s="4" customFormat="1" ht="6" hidden="1" customHeight="1" thickBot="1" x14ac:dyDescent="0.3">
      <c r="AE43" s="1"/>
    </row>
    <row r="44" spans="2:31" s="4" customFormat="1" ht="30" hidden="1" x14ac:dyDescent="0.25">
      <c r="C44" s="89"/>
      <c r="D44" s="89"/>
      <c r="E44" s="89"/>
      <c r="F44" s="89"/>
      <c r="G44" s="89"/>
      <c r="H44" s="89"/>
      <c r="I44" s="89"/>
      <c r="J44" s="89"/>
      <c r="K44" s="14">
        <v>2020</v>
      </c>
      <c r="L44" s="14"/>
      <c r="M44" s="14"/>
      <c r="N44" s="14" t="s">
        <v>192</v>
      </c>
      <c r="O44" s="14">
        <v>2021</v>
      </c>
      <c r="P44" s="14" t="s">
        <v>192</v>
      </c>
      <c r="Q44" s="14" t="s">
        <v>193</v>
      </c>
      <c r="R44" s="14" t="s">
        <v>194</v>
      </c>
      <c r="S44" s="14" t="s">
        <v>195</v>
      </c>
      <c r="T44" s="89"/>
      <c r="AE44" s="1"/>
    </row>
    <row r="45" spans="2:31" s="4" customFormat="1" ht="18.75" hidden="1" x14ac:dyDescent="0.3">
      <c r="B45" s="237" t="s">
        <v>179</v>
      </c>
      <c r="C45" s="238"/>
      <c r="D45" s="238"/>
      <c r="E45" s="238"/>
      <c r="F45" s="238"/>
      <c r="G45" s="238"/>
      <c r="H45" s="238"/>
      <c r="I45" s="238"/>
      <c r="J45" s="238"/>
      <c r="K45" s="238">
        <v>1824653</v>
      </c>
      <c r="L45" s="238"/>
      <c r="M45" s="238"/>
      <c r="N45" s="239"/>
      <c r="O45" s="238">
        <v>2354005</v>
      </c>
      <c r="P45" s="239"/>
      <c r="Q45" s="239">
        <v>1</v>
      </c>
      <c r="R45" s="239">
        <v>0.2901110512519367</v>
      </c>
      <c r="S45" s="238">
        <v>529352</v>
      </c>
      <c r="T45" s="250"/>
      <c r="AE45" s="1"/>
    </row>
    <row r="46" spans="2:31" ht="18.75" hidden="1" x14ac:dyDescent="0.3">
      <c r="B46" s="237" t="s">
        <v>180</v>
      </c>
      <c r="C46" s="238"/>
      <c r="D46" s="238"/>
      <c r="E46" s="238"/>
      <c r="F46" s="238"/>
      <c r="G46" s="238"/>
      <c r="H46" s="238"/>
      <c r="I46" s="238"/>
      <c r="J46" s="238"/>
      <c r="K46" s="238">
        <v>603938</v>
      </c>
      <c r="L46" s="238"/>
      <c r="M46" s="238"/>
      <c r="N46" s="239">
        <v>1</v>
      </c>
      <c r="O46" s="238">
        <v>936181</v>
      </c>
      <c r="P46" s="239">
        <v>1</v>
      </c>
      <c r="Q46" s="239">
        <v>0.39769711619134201</v>
      </c>
      <c r="R46" s="239">
        <v>0.55012766211101138</v>
      </c>
      <c r="S46" s="238">
        <v>332243</v>
      </c>
      <c r="T46" s="250"/>
      <c r="AE46" s="1" t="s">
        <v>181</v>
      </c>
    </row>
    <row r="47" spans="2:31" ht="15.75" hidden="1" x14ac:dyDescent="0.25">
      <c r="B47" s="240" t="s">
        <v>103</v>
      </c>
      <c r="C47" s="241"/>
      <c r="D47" s="241"/>
      <c r="E47" s="241"/>
      <c r="F47" s="241"/>
      <c r="G47" s="241"/>
      <c r="H47" s="241"/>
      <c r="I47" s="241"/>
      <c r="J47" s="241"/>
      <c r="K47" s="241">
        <v>276550.36166633503</v>
      </c>
      <c r="L47" s="241"/>
      <c r="M47" s="241"/>
      <c r="N47" s="242">
        <v>0.45791184139155844</v>
      </c>
      <c r="O47" s="241">
        <v>430252.45635520399</v>
      </c>
      <c r="P47" s="242">
        <v>0.4595825554622493</v>
      </c>
      <c r="Q47" s="242">
        <v>0.18277465695918402</v>
      </c>
      <c r="R47" s="242">
        <v>0.55578337978930015</v>
      </c>
      <c r="S47" s="241">
        <v>153702.09468886897</v>
      </c>
      <c r="T47" s="251"/>
      <c r="AE47" s="1" t="s">
        <v>182</v>
      </c>
    </row>
    <row r="48" spans="2:31" s="4" customFormat="1" hidden="1" x14ac:dyDescent="0.25">
      <c r="B48" s="243" t="s">
        <v>106</v>
      </c>
      <c r="C48" s="244"/>
      <c r="D48" s="244"/>
      <c r="E48" s="244"/>
      <c r="F48" s="244"/>
      <c r="G48" s="244"/>
      <c r="H48" s="244"/>
      <c r="I48" s="244"/>
      <c r="J48" s="244"/>
      <c r="K48" s="244">
        <v>327387.63833385095</v>
      </c>
      <c r="L48" s="244"/>
      <c r="M48" s="244"/>
      <c r="N48" s="247">
        <v>0.54208815860874948</v>
      </c>
      <c r="O48" s="244">
        <v>505927.5436448183</v>
      </c>
      <c r="P48" s="247">
        <v>0.54041637636826456</v>
      </c>
      <c r="Q48" s="247">
        <v>0.21492203442423372</v>
      </c>
      <c r="R48" s="245">
        <v>0.54534711884540576</v>
      </c>
      <c r="S48" s="246">
        <v>178539.90531096736</v>
      </c>
      <c r="T48" s="253"/>
      <c r="AE48" s="1" t="s">
        <v>183</v>
      </c>
    </row>
    <row r="49" spans="2:31" s="4" customFormat="1" hidden="1" x14ac:dyDescent="0.25">
      <c r="B49" s="248" t="s">
        <v>184</v>
      </c>
      <c r="C49" s="29"/>
      <c r="D49" s="29"/>
      <c r="E49" s="29"/>
      <c r="F49" s="29"/>
      <c r="G49" s="29"/>
      <c r="H49" s="29"/>
      <c r="I49" s="29"/>
      <c r="J49" s="29"/>
      <c r="K49" s="29">
        <v>242109.12821622068</v>
      </c>
      <c r="L49" s="29"/>
      <c r="M49" s="29"/>
      <c r="N49" s="31">
        <v>0.4008840778626625</v>
      </c>
      <c r="O49" s="29">
        <v>391384.01224089495</v>
      </c>
      <c r="P49" s="31">
        <v>0.41806446855992052</v>
      </c>
      <c r="Q49" s="31">
        <v>0.16626303352834634</v>
      </c>
      <c r="R49" s="22">
        <v>0.61656033014732592</v>
      </c>
      <c r="S49" s="20">
        <v>149274.88402467428</v>
      </c>
      <c r="T49" s="20"/>
      <c r="AE49" s="1" t="s">
        <v>185</v>
      </c>
    </row>
    <row r="50" spans="2:31" s="4" customFormat="1" hidden="1" x14ac:dyDescent="0.25">
      <c r="B50" s="248" t="s">
        <v>186</v>
      </c>
      <c r="C50" s="29"/>
      <c r="D50" s="29"/>
      <c r="E50" s="29"/>
      <c r="F50" s="29"/>
      <c r="G50" s="29"/>
      <c r="H50" s="29"/>
      <c r="I50" s="29"/>
      <c r="J50" s="29"/>
      <c r="K50" s="29">
        <v>85278.510117630256</v>
      </c>
      <c r="L50" s="29"/>
      <c r="M50" s="29"/>
      <c r="N50" s="31">
        <v>0.14120408074608695</v>
      </c>
      <c r="O50" s="29">
        <v>114543.53140392336</v>
      </c>
      <c r="P50" s="31">
        <v>0.12235190780834407</v>
      </c>
      <c r="Q50" s="31">
        <v>4.8659000895887379E-2</v>
      </c>
      <c r="R50" s="22">
        <v>0.34316994100771625</v>
      </c>
      <c r="S50" s="20">
        <v>29265.021286293108</v>
      </c>
      <c r="T50" s="20"/>
      <c r="AE50" s="1" t="s">
        <v>187</v>
      </c>
    </row>
    <row r="51" spans="2:31" s="4" customFormat="1" ht="7.5" hidden="1" customHeight="1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AE51" s="1" t="s">
        <v>188</v>
      </c>
    </row>
    <row r="52" spans="2:31" s="4" customFormat="1" hidden="1" x14ac:dyDescent="0.25">
      <c r="B52" s="282" t="s">
        <v>189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2"/>
      <c r="T52" s="50"/>
      <c r="AE52" s="1" t="s">
        <v>190</v>
      </c>
    </row>
    <row r="53" spans="2:31" s="4" customFormat="1" hidden="1" x14ac:dyDescent="0.25">
      <c r="AE53" s="1"/>
    </row>
    <row r="54" spans="2:31" hidden="1" x14ac:dyDescent="0.25">
      <c r="C54" s="127"/>
      <c r="D54" s="127"/>
      <c r="E54" s="127"/>
      <c r="F54" s="127"/>
      <c r="G54" s="127"/>
      <c r="H54" s="127"/>
      <c r="I54" s="127"/>
      <c r="J54" s="127"/>
      <c r="K54" s="127">
        <v>0.54208815860874948</v>
      </c>
      <c r="L54" s="127"/>
      <c r="M54" s="127"/>
    </row>
    <row r="55" spans="2:31" hidden="1" x14ac:dyDescent="0.25"/>
    <row r="56" spans="2:31" hidden="1" x14ac:dyDescent="0.25"/>
    <row r="57" spans="2:31" hidden="1" x14ac:dyDescent="0.25"/>
    <row r="58" spans="2:31" hidden="1" x14ac:dyDescent="0.25"/>
    <row r="59" spans="2:31" hidden="1" x14ac:dyDescent="0.25"/>
    <row r="60" spans="2:31" hidden="1" x14ac:dyDescent="0.25"/>
    <row r="61" spans="2:31" hidden="1" x14ac:dyDescent="0.25"/>
    <row r="62" spans="2:31" hidden="1" x14ac:dyDescent="0.25"/>
    <row r="63" spans="2:31" hidden="1" x14ac:dyDescent="0.25"/>
    <row r="64" spans="2:31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33" spans="1:31" s="4" customFormat="1" ht="25.5" customHeight="1" thickBot="1" x14ac:dyDescent="0.3">
      <c r="B133" s="64" t="s">
        <v>32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Z133" s="1"/>
    </row>
    <row r="134" spans="1:31" s="4" customFormat="1" ht="6" customHeight="1" x14ac:dyDescent="0.25">
      <c r="Z134" s="1"/>
    </row>
    <row r="135" spans="1:31" s="4" customFormat="1" ht="30" x14ac:dyDescent="0.25">
      <c r="C135" s="187">
        <v>2020</v>
      </c>
      <c r="D135" s="187">
        <v>2021</v>
      </c>
      <c r="E135" s="187">
        <v>2022</v>
      </c>
      <c r="F135" s="187">
        <v>2023</v>
      </c>
      <c r="G135" s="175" t="str">
        <f>CONCATENATE("var. ",RIGHT(F135,2),"/",RIGHT(E135,2))</f>
        <v>var. 23/22</v>
      </c>
      <c r="H135" s="175" t="str">
        <f>CONCATENATE("dif. ",RIGHT(F135,2),"/",RIGHT(E135,2))</f>
        <v>dif. 23/22</v>
      </c>
      <c r="I135" s="175" t="str">
        <f>CONCATENATE("%/s total Península ",RIGHT(F135,4))</f>
        <v>%/s total Península 2023</v>
      </c>
      <c r="J135" s="187">
        <v>2024</v>
      </c>
      <c r="K135" s="175" t="str">
        <f>CONCATENATE("%/s total España ",RIGHT(J135,4))</f>
        <v>%/s total España 2024</v>
      </c>
      <c r="L135" s="175" t="str">
        <f>CONCATENATE("var. ",RIGHT(J135,2),"/",RIGHT(F135,2))</f>
        <v>var. 24/23</v>
      </c>
      <c r="M135" s="175" t="str">
        <f>CONCATENATE("dif. ",RIGHT(J135,2),"/",RIGHT(F135,2))</f>
        <v>dif. 24/23</v>
      </c>
      <c r="N135" s="175" t="str">
        <f>CONCATENATE("var. ",RIGHT(J135,2),"/",RIGHT(C135,2))</f>
        <v>var. 24/20</v>
      </c>
      <c r="O135" s="175" t="str">
        <f>CONCATENATE("dif. ",RIGHT(J135,2),"/",RIGHT(C135,2))</f>
        <v>dif. 24/20</v>
      </c>
      <c r="Z135" s="1"/>
    </row>
    <row r="136" spans="1:31" ht="18.75" x14ac:dyDescent="0.3">
      <c r="A136" s="4"/>
      <c r="B136" s="237" t="s">
        <v>208</v>
      </c>
      <c r="C136" s="241">
        <v>208389</v>
      </c>
      <c r="D136" s="241">
        <v>416048</v>
      </c>
      <c r="E136" s="241">
        <v>423208</v>
      </c>
      <c r="F136" s="241">
        <v>430319</v>
      </c>
      <c r="G136" s="242">
        <f>F136/E136-1</f>
        <v>1.6802612426986219E-2</v>
      </c>
      <c r="H136" s="241">
        <f>F136-E136</f>
        <v>7111</v>
      </c>
      <c r="I136" s="242">
        <f>F136/F$136</f>
        <v>1</v>
      </c>
      <c r="J136" s="241">
        <v>422024</v>
      </c>
      <c r="K136" s="242">
        <f>H136/H$136</f>
        <v>1</v>
      </c>
      <c r="L136" s="242">
        <f>J136/F136-1</f>
        <v>-1.9276397277368629E-2</v>
      </c>
      <c r="M136" s="241">
        <f>J136-F136</f>
        <v>-8295</v>
      </c>
      <c r="N136" s="242">
        <f>J136/C136-1</f>
        <v>1.0251740734875643</v>
      </c>
      <c r="O136" s="241">
        <f>J136-C136</f>
        <v>213635</v>
      </c>
      <c r="Q136" s="29"/>
      <c r="R136" s="81"/>
      <c r="Z136" s="1" t="s">
        <v>181</v>
      </c>
      <c r="AE136"/>
    </row>
    <row r="137" spans="1:31" s="4" customFormat="1" x14ac:dyDescent="0.25">
      <c r="B137" s="248" t="s">
        <v>47</v>
      </c>
      <c r="C137" s="265">
        <v>68476</v>
      </c>
      <c r="D137" s="265">
        <v>126666</v>
      </c>
      <c r="E137" s="265">
        <v>86811</v>
      </c>
      <c r="F137" s="265">
        <v>75361</v>
      </c>
      <c r="G137" s="271">
        <f t="shared" ref="G137:G146" si="12">F137/E137-1</f>
        <v>-0.13189572749997125</v>
      </c>
      <c r="H137" s="278">
        <f t="shared" ref="H137:H146" si="13">F137-E137</f>
        <v>-11450</v>
      </c>
      <c r="I137" s="273">
        <f t="shared" ref="I137:K146" si="14">F137/F$136</f>
        <v>0.17512821883300528</v>
      </c>
      <c r="J137" s="265">
        <v>60679</v>
      </c>
      <c r="K137" s="273">
        <f t="shared" si="14"/>
        <v>-1.610181409084517</v>
      </c>
      <c r="L137" s="273">
        <f t="shared" ref="L137:L146" si="15">J137/F137-1</f>
        <v>-0.19482225554331811</v>
      </c>
      <c r="M137" s="272">
        <f t="shared" ref="M137:M146" si="16">J137-F137</f>
        <v>-14682</v>
      </c>
      <c r="N137" s="271">
        <f t="shared" ref="N137:N146" si="17">J137/C137-1</f>
        <v>-0.11386471172381563</v>
      </c>
      <c r="O137" s="265">
        <f t="shared" ref="O137:O146" si="18">J137-C137</f>
        <v>-7797</v>
      </c>
      <c r="Q137" s="29"/>
      <c r="R137" s="81"/>
      <c r="Z137" s="1" t="s">
        <v>183</v>
      </c>
    </row>
    <row r="138" spans="1:31" s="4" customFormat="1" x14ac:dyDescent="0.25">
      <c r="B138" s="248" t="s">
        <v>48</v>
      </c>
      <c r="C138" s="265">
        <v>24912</v>
      </c>
      <c r="D138" s="265">
        <v>43482</v>
      </c>
      <c r="E138" s="265">
        <v>48094</v>
      </c>
      <c r="F138" s="265">
        <v>52610</v>
      </c>
      <c r="G138" s="271">
        <f t="shared" si="12"/>
        <v>9.3899446916455354E-2</v>
      </c>
      <c r="H138" s="278">
        <f t="shared" si="13"/>
        <v>4516</v>
      </c>
      <c r="I138" s="273">
        <f t="shared" si="14"/>
        <v>0.1222581387296401</v>
      </c>
      <c r="J138" s="265">
        <v>50222</v>
      </c>
      <c r="K138" s="273">
        <f t="shared" si="14"/>
        <v>0.63507242300660949</v>
      </c>
      <c r="L138" s="273">
        <f t="shared" si="15"/>
        <v>-4.5390610150161548E-2</v>
      </c>
      <c r="M138" s="272">
        <f t="shared" si="16"/>
        <v>-2388</v>
      </c>
      <c r="N138" s="271">
        <f t="shared" si="17"/>
        <v>1.0159762363519591</v>
      </c>
      <c r="O138" s="265">
        <f t="shared" si="18"/>
        <v>25310</v>
      </c>
      <c r="Q138" s="29"/>
      <c r="R138" s="81"/>
      <c r="Z138" s="1"/>
    </row>
    <row r="139" spans="1:31" s="4" customFormat="1" x14ac:dyDescent="0.25">
      <c r="B139" s="248" t="s">
        <v>49</v>
      </c>
      <c r="C139" s="265">
        <v>1658</v>
      </c>
      <c r="D139" s="265">
        <v>2415</v>
      </c>
      <c r="E139" s="265">
        <v>3515</v>
      </c>
      <c r="F139" s="265">
        <v>14856</v>
      </c>
      <c r="G139" s="271">
        <f t="shared" si="12"/>
        <v>3.2264580369843525</v>
      </c>
      <c r="H139" s="279">
        <f t="shared" si="13"/>
        <v>11341</v>
      </c>
      <c r="I139" s="277">
        <f t="shared" si="14"/>
        <v>3.4523225792958245E-2</v>
      </c>
      <c r="J139" s="265">
        <v>7765</v>
      </c>
      <c r="K139" s="277">
        <f t="shared" si="14"/>
        <v>1.5948530445788216</v>
      </c>
      <c r="L139" s="273">
        <f t="shared" si="15"/>
        <v>-0.47731556273559506</v>
      </c>
      <c r="M139" s="272">
        <f t="shared" si="16"/>
        <v>-7091</v>
      </c>
      <c r="N139" s="271">
        <f t="shared" si="17"/>
        <v>3.6833534378769599</v>
      </c>
      <c r="O139" s="265">
        <f t="shared" si="18"/>
        <v>6107</v>
      </c>
      <c r="Q139" s="29"/>
      <c r="R139" s="81"/>
      <c r="Z139" s="1"/>
    </row>
    <row r="140" spans="1:31" s="4" customFormat="1" x14ac:dyDescent="0.25">
      <c r="B140" s="248" t="s">
        <v>51</v>
      </c>
      <c r="C140" s="265">
        <v>28320</v>
      </c>
      <c r="D140" s="265">
        <v>66989</v>
      </c>
      <c r="E140" s="265">
        <v>97391</v>
      </c>
      <c r="F140" s="265">
        <v>92865</v>
      </c>
      <c r="G140" s="271">
        <f t="shared" si="12"/>
        <v>-4.6472466655029687E-2</v>
      </c>
      <c r="H140" s="278">
        <f t="shared" si="13"/>
        <v>-4526</v>
      </c>
      <c r="I140" s="273">
        <f t="shared" si="14"/>
        <v>0.21580501906725011</v>
      </c>
      <c r="J140" s="265">
        <v>106402</v>
      </c>
      <c r="K140" s="273">
        <f t="shared" si="14"/>
        <v>-0.63647869497960907</v>
      </c>
      <c r="L140" s="273">
        <f t="shared" si="15"/>
        <v>0.14577074247563671</v>
      </c>
      <c r="M140" s="272">
        <f t="shared" si="16"/>
        <v>13537</v>
      </c>
      <c r="N140" s="271">
        <f t="shared" si="17"/>
        <v>2.7571327683615818</v>
      </c>
      <c r="O140" s="265">
        <f t="shared" si="18"/>
        <v>78082</v>
      </c>
      <c r="Q140" s="29"/>
      <c r="R140" s="81"/>
      <c r="Z140" s="1"/>
    </row>
    <row r="141" spans="1:31" s="4" customFormat="1" x14ac:dyDescent="0.25">
      <c r="B141" s="248" t="s">
        <v>53</v>
      </c>
      <c r="C141" s="265">
        <v>4963</v>
      </c>
      <c r="D141" s="265">
        <v>24120</v>
      </c>
      <c r="E141" s="265">
        <v>16359</v>
      </c>
      <c r="F141" s="265">
        <v>19520</v>
      </c>
      <c r="G141" s="271">
        <f t="shared" si="12"/>
        <v>0.19322696986368371</v>
      </c>
      <c r="H141" s="279">
        <f t="shared" si="13"/>
        <v>3161</v>
      </c>
      <c r="I141" s="277">
        <f t="shared" si="14"/>
        <v>4.5361696787731894E-2</v>
      </c>
      <c r="J141" s="265">
        <v>16099</v>
      </c>
      <c r="K141" s="277">
        <f t="shared" si="14"/>
        <v>0.44452257066516665</v>
      </c>
      <c r="L141" s="273">
        <f t="shared" si="15"/>
        <v>-0.17525614754098362</v>
      </c>
      <c r="M141" s="272">
        <f t="shared" si="16"/>
        <v>-3421</v>
      </c>
      <c r="N141" s="271">
        <f t="shared" si="17"/>
        <v>2.243804150715293</v>
      </c>
      <c r="O141" s="265">
        <f t="shared" si="18"/>
        <v>11136</v>
      </c>
      <c r="Q141" s="29"/>
      <c r="R141" s="81"/>
      <c r="Z141" s="1"/>
    </row>
    <row r="142" spans="1:31" s="4" customFormat="1" x14ac:dyDescent="0.25">
      <c r="B142" s="248" t="s">
        <v>54</v>
      </c>
      <c r="C142" s="265">
        <v>27791</v>
      </c>
      <c r="D142" s="265">
        <v>53247</v>
      </c>
      <c r="E142" s="265">
        <v>69865</v>
      </c>
      <c r="F142" s="265">
        <v>67025</v>
      </c>
      <c r="G142" s="271">
        <f t="shared" si="12"/>
        <v>-4.0649824661847855E-2</v>
      </c>
      <c r="H142" s="278">
        <f t="shared" si="13"/>
        <v>-2840</v>
      </c>
      <c r="I142" s="273">
        <f t="shared" si="14"/>
        <v>0.15575654340152306</v>
      </c>
      <c r="J142" s="265">
        <v>75188</v>
      </c>
      <c r="K142" s="273">
        <f t="shared" si="14"/>
        <v>-0.39938124033188016</v>
      </c>
      <c r="L142" s="273">
        <f t="shared" si="15"/>
        <v>0.12179037672510251</v>
      </c>
      <c r="M142" s="272">
        <f t="shared" si="16"/>
        <v>8163</v>
      </c>
      <c r="N142" s="271">
        <f t="shared" si="17"/>
        <v>1.70548019142888</v>
      </c>
      <c r="O142" s="265">
        <f t="shared" si="18"/>
        <v>47397</v>
      </c>
      <c r="Q142" s="29"/>
      <c r="R142" s="81"/>
      <c r="Z142" s="1"/>
    </row>
    <row r="143" spans="1:31" s="4" customFormat="1" x14ac:dyDescent="0.25">
      <c r="B143" s="248" t="s">
        <v>52</v>
      </c>
      <c r="C143" s="265">
        <v>8684</v>
      </c>
      <c r="D143" s="265">
        <v>11001</v>
      </c>
      <c r="E143" s="265">
        <v>16289</v>
      </c>
      <c r="F143" s="265">
        <v>12024</v>
      </c>
      <c r="G143" s="271">
        <f t="shared" si="12"/>
        <v>-0.261833138928111</v>
      </c>
      <c r="H143" s="279">
        <f t="shared" si="13"/>
        <v>-4265</v>
      </c>
      <c r="I143" s="277">
        <f t="shared" si="14"/>
        <v>2.7942061586869276E-2</v>
      </c>
      <c r="J143" s="265">
        <v>11877</v>
      </c>
      <c r="K143" s="277">
        <f t="shared" si="14"/>
        <v>-0.59977499648432009</v>
      </c>
      <c r="L143" s="273">
        <f t="shared" si="15"/>
        <v>-1.2225548902195627E-2</v>
      </c>
      <c r="M143" s="272">
        <f t="shared" si="16"/>
        <v>-147</v>
      </c>
      <c r="N143" s="271">
        <f t="shared" si="17"/>
        <v>0.36768770152003682</v>
      </c>
      <c r="O143" s="265">
        <f t="shared" si="18"/>
        <v>3193</v>
      </c>
      <c r="Q143" s="29"/>
      <c r="R143" s="81"/>
      <c r="Z143" s="1"/>
    </row>
    <row r="144" spans="1:31" s="4" customFormat="1" x14ac:dyDescent="0.25">
      <c r="B144" s="248" t="s">
        <v>55</v>
      </c>
      <c r="C144" s="265">
        <v>20058</v>
      </c>
      <c r="D144" s="265">
        <v>34195</v>
      </c>
      <c r="E144" s="265">
        <v>19943</v>
      </c>
      <c r="F144" s="265">
        <v>22352</v>
      </c>
      <c r="G144" s="271">
        <f t="shared" si="12"/>
        <v>0.12079426365140655</v>
      </c>
      <c r="H144" s="278">
        <f t="shared" si="13"/>
        <v>2409</v>
      </c>
      <c r="I144" s="273">
        <f t="shared" si="14"/>
        <v>5.1942860993820866E-2</v>
      </c>
      <c r="J144" s="265">
        <v>18376</v>
      </c>
      <c r="K144" s="273">
        <f t="shared" si="14"/>
        <v>0.33877091829559836</v>
      </c>
      <c r="L144" s="273">
        <f t="shared" si="15"/>
        <v>-0.17788117394416603</v>
      </c>
      <c r="M144" s="272">
        <f t="shared" si="16"/>
        <v>-3976</v>
      </c>
      <c r="N144" s="271">
        <f t="shared" si="17"/>
        <v>-8.3856815235816118E-2</v>
      </c>
      <c r="O144" s="265">
        <f t="shared" si="18"/>
        <v>-1682</v>
      </c>
      <c r="Q144" s="29"/>
      <c r="R144" s="81"/>
      <c r="Z144" s="1"/>
    </row>
    <row r="145" spans="2:31" s="4" customFormat="1" x14ac:dyDescent="0.25">
      <c r="B145" s="248" t="s">
        <v>50</v>
      </c>
      <c r="C145" s="265">
        <v>8930</v>
      </c>
      <c r="D145" s="265">
        <v>21567</v>
      </c>
      <c r="E145" s="265">
        <v>23338</v>
      </c>
      <c r="F145" s="265">
        <v>29399</v>
      </c>
      <c r="G145" s="271">
        <f t="shared" si="12"/>
        <v>0.25970520181677959</v>
      </c>
      <c r="H145" s="279">
        <f t="shared" si="13"/>
        <v>6061</v>
      </c>
      <c r="I145" s="277">
        <f t="shared" si="14"/>
        <v>6.8319084214268952E-2</v>
      </c>
      <c r="J145" s="265">
        <v>37562</v>
      </c>
      <c r="K145" s="277">
        <f t="shared" si="14"/>
        <v>0.85234144283504432</v>
      </c>
      <c r="L145" s="273">
        <f t="shared" si="15"/>
        <v>0.27766250552739891</v>
      </c>
      <c r="M145" s="272">
        <f t="shared" si="16"/>
        <v>8163</v>
      </c>
      <c r="N145" s="271">
        <f t="shared" si="17"/>
        <v>3.2062709966405372</v>
      </c>
      <c r="O145" s="265">
        <f t="shared" si="18"/>
        <v>28632</v>
      </c>
      <c r="Q145" s="29"/>
      <c r="R145" s="81"/>
      <c r="Z145" s="1"/>
    </row>
    <row r="146" spans="2:31" s="4" customFormat="1" x14ac:dyDescent="0.25">
      <c r="B146" s="248" t="s">
        <v>209</v>
      </c>
      <c r="C146" s="265">
        <f>C136-SUM(C137:C145)</f>
        <v>14597</v>
      </c>
      <c r="D146" s="265">
        <f>D136-SUM(D137:D145)</f>
        <v>32366</v>
      </c>
      <c r="E146" s="265">
        <f>E136-SUM(E137:E145)</f>
        <v>41603</v>
      </c>
      <c r="F146" s="265">
        <f>F136-SUM(F137:F145)</f>
        <v>44307</v>
      </c>
      <c r="G146" s="271">
        <f t="shared" si="12"/>
        <v>6.4995312838016517E-2</v>
      </c>
      <c r="H146" s="278">
        <f t="shared" si="13"/>
        <v>2704</v>
      </c>
      <c r="I146" s="273">
        <f t="shared" si="14"/>
        <v>0.10296315059293222</v>
      </c>
      <c r="J146" s="265">
        <f>J136-SUM(J137:J145)</f>
        <v>37854</v>
      </c>
      <c r="K146" s="273">
        <f t="shared" si="14"/>
        <v>0.38025594149908593</v>
      </c>
      <c r="L146" s="273">
        <f t="shared" si="15"/>
        <v>-0.14564290067032293</v>
      </c>
      <c r="M146" s="272">
        <f t="shared" si="16"/>
        <v>-6453</v>
      </c>
      <c r="N146" s="271">
        <f t="shared" si="17"/>
        <v>1.5932725902582723</v>
      </c>
      <c r="O146" s="265">
        <f t="shared" si="18"/>
        <v>23257</v>
      </c>
      <c r="Q146" s="29"/>
      <c r="R146" s="81"/>
      <c r="Z146" s="1"/>
    </row>
    <row r="147" spans="2:31" s="4" customFormat="1" ht="7.5" customHeight="1" x14ac:dyDescent="0.25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Z147" s="1" t="s">
        <v>188</v>
      </c>
    </row>
    <row r="148" spans="2:31" s="4" customFormat="1" x14ac:dyDescent="0.25">
      <c r="B148" s="173" t="s">
        <v>189</v>
      </c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Z148" s="1" t="s">
        <v>190</v>
      </c>
    </row>
    <row r="149" spans="2:31" x14ac:dyDescent="0.25">
      <c r="Z149" s="1"/>
      <c r="AE149"/>
    </row>
  </sheetData>
  <mergeCells count="2">
    <mergeCell ref="B42:S42"/>
    <mergeCell ref="B52:S5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&amp;L&amp;G</oddFooter>
  </headerFooter>
  <drawing r:id="rId2"/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F224B-24C6-4F1F-971D-AF3422BFDAAA}">
  <sheetPr>
    <tabColor theme="4" tint="0.39997558519241921"/>
  </sheetPr>
  <dimension ref="A4:E25"/>
  <sheetViews>
    <sheetView showGridLines="0" zoomScaleNormal="100" workbookViewId="0">
      <selection activeCell="H9" sqref="H9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325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212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114632</v>
      </c>
      <c r="D8" s="121">
        <f t="shared" ref="D8:D21" si="0">C8/C9-1</f>
        <v>-4.063203528417314E-2</v>
      </c>
    </row>
    <row r="9" spans="1:5" x14ac:dyDescent="0.25">
      <c r="A9" s="1"/>
      <c r="B9" s="119">
        <v>2023</v>
      </c>
      <c r="C9" s="120">
        <v>119487</v>
      </c>
      <c r="D9" s="121">
        <f t="shared" si="0"/>
        <v>-3.6014231430161914E-2</v>
      </c>
    </row>
    <row r="10" spans="1:5" x14ac:dyDescent="0.25">
      <c r="A10" s="1"/>
      <c r="B10" s="119">
        <v>2022</v>
      </c>
      <c r="C10" s="120">
        <v>123951</v>
      </c>
      <c r="D10" s="121">
        <f t="shared" si="0"/>
        <v>0.48501222025207258</v>
      </c>
    </row>
    <row r="11" spans="1:5" x14ac:dyDescent="0.25">
      <c r="A11" s="1"/>
      <c r="B11" s="119">
        <v>2021</v>
      </c>
      <c r="C11" s="120">
        <v>83468</v>
      </c>
      <c r="D11" s="121">
        <f t="shared" si="0"/>
        <v>0.61259659969088109</v>
      </c>
    </row>
    <row r="12" spans="1:5" x14ac:dyDescent="0.25">
      <c r="A12" s="1" t="s">
        <v>75</v>
      </c>
      <c r="B12" s="119">
        <v>2020</v>
      </c>
      <c r="C12" s="120">
        <v>51760</v>
      </c>
      <c r="D12" s="121">
        <f t="shared" si="0"/>
        <v>-0.59505237875433226</v>
      </c>
    </row>
    <row r="13" spans="1:5" x14ac:dyDescent="0.25">
      <c r="A13" s="1" t="s">
        <v>77</v>
      </c>
      <c r="B13" s="119">
        <v>2019</v>
      </c>
      <c r="C13" s="120">
        <v>127819</v>
      </c>
      <c r="D13" s="121">
        <f t="shared" si="0"/>
        <v>-3.6448203597328366E-2</v>
      </c>
    </row>
    <row r="14" spans="1:5" x14ac:dyDescent="0.25">
      <c r="A14" s="1" t="s">
        <v>79</v>
      </c>
      <c r="B14" s="119">
        <v>2018</v>
      </c>
      <c r="C14" s="120">
        <v>132654</v>
      </c>
      <c r="D14" s="121">
        <f t="shared" si="0"/>
        <v>4.46266153228283E-2</v>
      </c>
    </row>
    <row r="15" spans="1:5" x14ac:dyDescent="0.25">
      <c r="A15" s="1" t="s">
        <v>81</v>
      </c>
      <c r="B15" s="119">
        <v>2017</v>
      </c>
      <c r="C15" s="120">
        <v>126987</v>
      </c>
      <c r="D15" s="121">
        <f t="shared" si="0"/>
        <v>1.5408603870142423E-2</v>
      </c>
    </row>
    <row r="16" spans="1:5" x14ac:dyDescent="0.25">
      <c r="A16" s="1" t="s">
        <v>83</v>
      </c>
      <c r="B16" s="119">
        <v>2016</v>
      </c>
      <c r="C16" s="120">
        <v>125060</v>
      </c>
      <c r="D16" s="121">
        <f>C16/C17-1</f>
        <v>2.7194343576542046E-4</v>
      </c>
    </row>
    <row r="17" spans="1:4" x14ac:dyDescent="0.25">
      <c r="A17" s="1" t="s">
        <v>85</v>
      </c>
      <c r="B17" s="119">
        <v>2015</v>
      </c>
      <c r="C17" s="120">
        <v>125026</v>
      </c>
      <c r="D17" s="121">
        <f t="shared" si="0"/>
        <v>0.17537674742175979</v>
      </c>
    </row>
    <row r="18" spans="1:4" x14ac:dyDescent="0.25">
      <c r="A18" s="1" t="s">
        <v>87</v>
      </c>
      <c r="B18" s="119">
        <v>2014</v>
      </c>
      <c r="C18" s="120">
        <v>106371</v>
      </c>
      <c r="D18" s="121">
        <f t="shared" si="0"/>
        <v>-6.1073351575602453E-2</v>
      </c>
    </row>
    <row r="19" spans="1:4" x14ac:dyDescent="0.25">
      <c r="A19" s="1" t="s">
        <v>89</v>
      </c>
      <c r="B19" s="119">
        <v>2013</v>
      </c>
      <c r="C19" s="120">
        <v>113290</v>
      </c>
      <c r="D19" s="121">
        <f t="shared" si="0"/>
        <v>4.5901881497073527E-2</v>
      </c>
    </row>
    <row r="20" spans="1:4" x14ac:dyDescent="0.25">
      <c r="A20" s="1" t="s">
        <v>91</v>
      </c>
      <c r="B20" s="119">
        <v>2012</v>
      </c>
      <c r="C20" s="120">
        <v>108318</v>
      </c>
      <c r="D20" s="121">
        <f>C20/C21-1</f>
        <v>-0.10269643374891269</v>
      </c>
    </row>
    <row r="21" spans="1:4" x14ac:dyDescent="0.25">
      <c r="A21" s="1" t="s">
        <v>93</v>
      </c>
      <c r="B21" s="119">
        <v>2011</v>
      </c>
      <c r="C21" s="120">
        <v>120715</v>
      </c>
      <c r="D21" s="121">
        <f t="shared" si="0"/>
        <v>-0.16099639280228528</v>
      </c>
    </row>
    <row r="22" spans="1:4" x14ac:dyDescent="0.25">
      <c r="A22" s="1" t="s">
        <v>95</v>
      </c>
      <c r="B22" s="119">
        <v>2010</v>
      </c>
      <c r="C22" s="120">
        <v>143879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  <row r="25" spans="1:4" x14ac:dyDescent="0.25">
      <c r="B25" t="s">
        <v>12</v>
      </c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6D326-CA9D-417F-9776-F8FA63C4FF27}">
  <sheetPr>
    <tabColor theme="4" tint="0.39997558519241921"/>
  </sheetPr>
  <dimension ref="A4:E25"/>
  <sheetViews>
    <sheetView showGridLines="0" zoomScaleNormal="100" workbookViewId="0">
      <selection activeCell="H9" sqref="H9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326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213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64410</v>
      </c>
      <c r="D8" s="121">
        <f t="shared" ref="D8:D21" si="0">C8/C9-1</f>
        <v>-3.6888616415210018E-2</v>
      </c>
    </row>
    <row r="9" spans="1:5" x14ac:dyDescent="0.25">
      <c r="A9" s="1"/>
      <c r="B9" s="119">
        <v>2023</v>
      </c>
      <c r="C9" s="120">
        <v>66877</v>
      </c>
      <c r="D9" s="121">
        <f t="shared" si="0"/>
        <v>-0.11838063725167092</v>
      </c>
    </row>
    <row r="10" spans="1:5" x14ac:dyDescent="0.25">
      <c r="A10" s="1"/>
      <c r="B10" s="119">
        <v>2022</v>
      </c>
      <c r="C10" s="120">
        <v>75857</v>
      </c>
      <c r="D10" s="121">
        <f t="shared" si="0"/>
        <v>0.89708898114340019</v>
      </c>
    </row>
    <row r="11" spans="1:5" x14ac:dyDescent="0.25">
      <c r="A11" s="1"/>
      <c r="B11" s="119">
        <v>2021</v>
      </c>
      <c r="C11" s="120">
        <v>39986</v>
      </c>
      <c r="D11" s="121">
        <f t="shared" si="0"/>
        <v>0.48934743742550646</v>
      </c>
    </row>
    <row r="12" spans="1:5" x14ac:dyDescent="0.25">
      <c r="A12" s="1" t="s">
        <v>75</v>
      </c>
      <c r="B12" s="119">
        <v>2020</v>
      </c>
      <c r="C12" s="120">
        <v>26848</v>
      </c>
      <c r="D12" s="121">
        <f t="shared" si="0"/>
        <v>-0.64900445804081519</v>
      </c>
    </row>
    <row r="13" spans="1:5" x14ac:dyDescent="0.25">
      <c r="A13" s="1" t="s">
        <v>77</v>
      </c>
      <c r="B13" s="119">
        <v>2019</v>
      </c>
      <c r="C13" s="120">
        <v>76491</v>
      </c>
      <c r="D13" s="121">
        <f t="shared" si="0"/>
        <v>-0.15281100478468901</v>
      </c>
    </row>
    <row r="14" spans="1:5" x14ac:dyDescent="0.25">
      <c r="A14" s="1" t="s">
        <v>79</v>
      </c>
      <c r="B14" s="119">
        <v>2018</v>
      </c>
      <c r="C14" s="120">
        <v>90288</v>
      </c>
      <c r="D14" s="121">
        <f t="shared" si="0"/>
        <v>8.3317335381071222E-2</v>
      </c>
    </row>
    <row r="15" spans="1:5" x14ac:dyDescent="0.25">
      <c r="A15" s="1" t="s">
        <v>81</v>
      </c>
      <c r="B15" s="119">
        <v>2017</v>
      </c>
      <c r="C15" s="120">
        <v>83344</v>
      </c>
      <c r="D15" s="121">
        <f>C15/C16-1</f>
        <v>3.2277242438504716E-2</v>
      </c>
    </row>
    <row r="16" spans="1:5" x14ac:dyDescent="0.25">
      <c r="A16" s="1" t="s">
        <v>83</v>
      </c>
      <c r="B16" s="119">
        <v>2016</v>
      </c>
      <c r="C16" s="120">
        <v>80738</v>
      </c>
      <c r="D16" s="121">
        <f>C16/C17-1</f>
        <v>4.9363140109176085E-2</v>
      </c>
    </row>
    <row r="17" spans="1:4" x14ac:dyDescent="0.25">
      <c r="A17" s="1" t="s">
        <v>85</v>
      </c>
      <c r="B17" s="119">
        <v>2015</v>
      </c>
      <c r="C17" s="120">
        <v>76940</v>
      </c>
      <c r="D17" s="121">
        <f t="shared" si="0"/>
        <v>0.29039832285115308</v>
      </c>
    </row>
    <row r="18" spans="1:4" x14ac:dyDescent="0.25">
      <c r="A18" s="1" t="s">
        <v>87</v>
      </c>
      <c r="B18" s="119">
        <v>2014</v>
      </c>
      <c r="C18" s="120">
        <v>59625</v>
      </c>
      <c r="D18" s="121">
        <f t="shared" si="0"/>
        <v>-0.14425340145817789</v>
      </c>
    </row>
    <row r="19" spans="1:4" x14ac:dyDescent="0.25">
      <c r="A19" s="1" t="s">
        <v>89</v>
      </c>
      <c r="B19" s="119">
        <v>2013</v>
      </c>
      <c r="C19" s="120">
        <v>69676</v>
      </c>
      <c r="D19" s="121">
        <f t="shared" si="0"/>
        <v>-2.5674012753104325E-2</v>
      </c>
    </row>
    <row r="20" spans="1:4" x14ac:dyDescent="0.25">
      <c r="A20" s="1" t="s">
        <v>91</v>
      </c>
      <c r="B20" s="119">
        <v>2012</v>
      </c>
      <c r="C20" s="120">
        <v>71512</v>
      </c>
      <c r="D20" s="121">
        <f>C20/C21-1</f>
        <v>0.12730941421274977</v>
      </c>
    </row>
    <row r="21" spans="1:4" x14ac:dyDescent="0.25">
      <c r="A21" s="1" t="s">
        <v>93</v>
      </c>
      <c r="B21" s="119">
        <v>2011</v>
      </c>
      <c r="C21" s="120">
        <v>63436</v>
      </c>
      <c r="D21" s="121">
        <f t="shared" si="0"/>
        <v>-4.9733357301216419E-2</v>
      </c>
    </row>
    <row r="22" spans="1:4" x14ac:dyDescent="0.25">
      <c r="A22" s="1" t="s">
        <v>95</v>
      </c>
      <c r="B22" s="119">
        <v>2010</v>
      </c>
      <c r="C22" s="120">
        <v>66756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  <row r="25" spans="1:4" x14ac:dyDescent="0.25">
      <c r="B25" t="s">
        <v>12</v>
      </c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DD38-A617-43B2-AE8D-12460C17EC09}">
  <sheetPr>
    <tabColor rgb="FF92D050"/>
  </sheetPr>
  <dimension ref="B1:W54"/>
  <sheetViews>
    <sheetView showGridLines="0" zoomScaleNormal="10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24.7109375" customWidth="1"/>
    <col min="3" max="8" width="11.42578125" customWidth="1"/>
    <col min="9" max="10" width="10.7109375" customWidth="1"/>
    <col min="11" max="11" width="12" customWidth="1"/>
    <col min="12" max="12" width="10.7109375" customWidth="1"/>
    <col min="13" max="18" width="12.28515625" customWidth="1"/>
    <col min="19" max="19" width="10.7109375" customWidth="1"/>
    <col min="20" max="20" width="13" customWidth="1"/>
    <col min="21" max="21" width="10.7109375" customWidth="1"/>
    <col min="24" max="24" width="14.42578125" customWidth="1"/>
    <col min="25" max="26" width="7.85546875" customWidth="1"/>
    <col min="27" max="27" width="8.140625" customWidth="1"/>
    <col min="28" max="28" width="9" customWidth="1"/>
    <col min="29" max="30" width="9.42578125" customWidth="1"/>
  </cols>
  <sheetData>
    <row r="1" spans="2:23" ht="42.75" customHeight="1" x14ac:dyDescent="0.25"/>
    <row r="3" spans="2:23" ht="30.75" customHeight="1" thickBot="1" x14ac:dyDescent="0.3">
      <c r="B3" s="84" t="str">
        <f>CONCATENATE("Plazas alojativas en funcionamiento Tenerife y municipios")</f>
        <v>Plazas alojativas en funcionamiento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2:23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5"/>
      <c r="Q4" s="85"/>
      <c r="R4" s="86"/>
      <c r="S4" s="86"/>
      <c r="T4" s="86"/>
      <c r="U4" s="86"/>
      <c r="V4" s="86"/>
      <c r="W4" s="86"/>
    </row>
    <row r="5" spans="2:23" ht="15.75" thickBot="1" x14ac:dyDescent="0.3">
      <c r="B5" s="87"/>
      <c r="C5" s="303" t="s">
        <v>61</v>
      </c>
      <c r="D5" s="303"/>
      <c r="E5" s="303"/>
      <c r="F5" s="303"/>
      <c r="G5" s="303"/>
      <c r="H5" s="303"/>
      <c r="I5" s="88"/>
      <c r="J5" s="88"/>
      <c r="K5" s="88"/>
      <c r="L5" s="88"/>
      <c r="M5" s="89"/>
      <c r="N5" s="304" t="s">
        <v>62</v>
      </c>
      <c r="O5" s="304"/>
      <c r="P5" s="304"/>
      <c r="Q5" s="304"/>
      <c r="R5" s="304"/>
      <c r="S5" s="88"/>
      <c r="T5" s="88"/>
      <c r="U5" s="88"/>
      <c r="V5" s="88"/>
      <c r="W5" s="89"/>
    </row>
    <row r="6" spans="2:23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CONCATENATE("var. ",RIGHT(H6,2),"/",RIGHT(D6,2))</f>
        <v>var. 25/21</v>
      </c>
      <c r="K6" s="91" t="str">
        <f>CONCATENATE("dif. ",RIGHT(H6,2),"/",RIGHT(G6,2))</f>
        <v>dif. 25/24</v>
      </c>
      <c r="L6" s="91" t="str">
        <f>CONCATENATE("dif. ",RIGHT(H6,2),"/",RIGHT(D6,2))</f>
        <v>dif. 25/21</v>
      </c>
      <c r="M6" s="14" t="str">
        <f>CONCATENATE("cuota/ total isla ",RIGHT(H6,2))</f>
        <v>cuota/ total isla 25</v>
      </c>
      <c r="N6" s="92" t="s">
        <v>231</v>
      </c>
      <c r="O6" s="92" t="s">
        <v>232</v>
      </c>
      <c r="P6" s="92" t="s">
        <v>233</v>
      </c>
      <c r="Q6" s="92" t="s">
        <v>234</v>
      </c>
      <c r="R6" s="92" t="s">
        <v>235</v>
      </c>
      <c r="S6" s="91" t="str">
        <f>CONCATENATE("var. ",RIGHT(R6,2),"/",RIGHT(Q6,2))</f>
        <v>var. 25/24</v>
      </c>
      <c r="T6" s="91" t="str">
        <f>CONCATENATE("var. ",RIGHT(R6,2),"/",RIGHT(N6,2))</f>
        <v>var. 25/21</v>
      </c>
      <c r="U6" s="91" t="str">
        <f>CONCATENATE("dif. ",RIGHT(R6,2),"/",RIGHT(Q6,2))</f>
        <v>dif. 25/24</v>
      </c>
      <c r="V6" s="91" t="str">
        <f>CONCATENATE("dif. ",RIGHT(R6,2),"/",RIGHT(N6,2))</f>
        <v>dif. 25/21</v>
      </c>
      <c r="W6" s="89" t="str">
        <f>CONCATENATE("cuota/ total isla ",RIGHT(R6,2))</f>
        <v>cuota/ total isla 25</v>
      </c>
    </row>
    <row r="7" spans="2:23" x14ac:dyDescent="0.25">
      <c r="B7" s="93" t="s">
        <v>46</v>
      </c>
      <c r="C7" s="94">
        <v>66601</v>
      </c>
      <c r="D7" s="94">
        <v>82456</v>
      </c>
      <c r="E7" s="94">
        <v>129725</v>
      </c>
      <c r="F7" s="94">
        <v>125536.00000000001</v>
      </c>
      <c r="G7" s="94">
        <v>135046</v>
      </c>
      <c r="H7" s="94">
        <v>125647</v>
      </c>
      <c r="I7" s="95">
        <f t="shared" ref="I7:I52" si="0">IFERROR(H7/G7-1,"-")</f>
        <v>-6.9598507175332891E-2</v>
      </c>
      <c r="J7" s="95">
        <f t="shared" ref="J7:J52" si="1">IFERROR(H7/D7-1,"-")</f>
        <v>0.52380663626661494</v>
      </c>
      <c r="K7" s="94">
        <f t="shared" ref="K7:K52" si="2">IFERROR(H7-G7,"-")</f>
        <v>-9399</v>
      </c>
      <c r="L7" s="94">
        <f t="shared" ref="L7:L52" si="3">IFERROR(H7-D7,"-")</f>
        <v>43191</v>
      </c>
      <c r="M7" s="95">
        <f>H7/H7</f>
        <v>1</v>
      </c>
      <c r="N7" s="94">
        <v>118692</v>
      </c>
      <c r="O7" s="94">
        <v>199699</v>
      </c>
      <c r="P7" s="94">
        <v>126466</v>
      </c>
      <c r="Q7" s="94">
        <v>128267</v>
      </c>
      <c r="R7" s="94">
        <v>127934</v>
      </c>
      <c r="S7" s="95">
        <f t="shared" ref="S7:S52" si="4">IFERROR(R7/Q7-1,"-")</f>
        <v>-2.5961470994098068E-3</v>
      </c>
      <c r="T7" s="95">
        <f t="shared" ref="T7:T52" si="5">IFERROR(R7/N7-1,"-")</f>
        <v>7.786539952145044E-2</v>
      </c>
      <c r="U7" s="94">
        <f t="shared" ref="U7:U52" si="6">IFERROR(R7-Q7,"-")</f>
        <v>-333</v>
      </c>
      <c r="V7" s="94">
        <f t="shared" ref="V7:V52" si="7">IFERROR(R7-N7,"-")</f>
        <v>9242</v>
      </c>
      <c r="W7" s="95">
        <f>R7/R7</f>
        <v>1</v>
      </c>
    </row>
    <row r="8" spans="2:23" x14ac:dyDescent="0.25">
      <c r="B8" s="96" t="s">
        <v>63</v>
      </c>
      <c r="C8" s="97">
        <v>44486.999999999993</v>
      </c>
      <c r="D8" s="97">
        <v>56791</v>
      </c>
      <c r="E8" s="97">
        <v>89503</v>
      </c>
      <c r="F8" s="97">
        <v>89318</v>
      </c>
      <c r="G8" s="97">
        <v>99213</v>
      </c>
      <c r="H8" s="97">
        <v>89677.999999999985</v>
      </c>
      <c r="I8" s="98">
        <f t="shared" si="0"/>
        <v>-9.610635702982484E-2</v>
      </c>
      <c r="J8" s="98">
        <f t="shared" si="1"/>
        <v>0.57908823581201219</v>
      </c>
      <c r="K8" s="97">
        <f t="shared" si="2"/>
        <v>-9535.0000000000146</v>
      </c>
      <c r="L8" s="97">
        <f t="shared" si="3"/>
        <v>32886.999999999985</v>
      </c>
      <c r="M8" s="98">
        <f>H8/H7</f>
        <v>0.71372973489219782</v>
      </c>
      <c r="N8" s="97">
        <v>86479</v>
      </c>
      <c r="O8" s="97">
        <v>91202</v>
      </c>
      <c r="P8" s="97">
        <v>90259</v>
      </c>
      <c r="Q8" s="97">
        <v>92267</v>
      </c>
      <c r="R8" s="97">
        <v>91865</v>
      </c>
      <c r="S8" s="98">
        <f t="shared" si="4"/>
        <v>-4.3569206758645729E-3</v>
      </c>
      <c r="T8" s="98">
        <f t="shared" si="5"/>
        <v>6.2281016200464778E-2</v>
      </c>
      <c r="U8" s="97">
        <f t="shared" si="6"/>
        <v>-402</v>
      </c>
      <c r="V8" s="97">
        <f t="shared" si="7"/>
        <v>5386</v>
      </c>
      <c r="W8" s="98">
        <f>R8/R7</f>
        <v>0.71806556505698249</v>
      </c>
    </row>
    <row r="9" spans="2:23" x14ac:dyDescent="0.25">
      <c r="B9" s="99" t="s">
        <v>64</v>
      </c>
      <c r="C9" s="54">
        <v>34865</v>
      </c>
      <c r="D9" s="54">
        <v>45244</v>
      </c>
      <c r="E9" s="54">
        <v>71471</v>
      </c>
      <c r="F9" s="54">
        <v>72829</v>
      </c>
      <c r="G9" s="54">
        <v>81170</v>
      </c>
      <c r="H9" s="54">
        <v>73859</v>
      </c>
      <c r="I9" s="100">
        <f t="shared" si="0"/>
        <v>-9.0070222988788973E-2</v>
      </c>
      <c r="J9" s="100">
        <f t="shared" si="1"/>
        <v>0.63245955264786491</v>
      </c>
      <c r="K9" s="54">
        <f t="shared" si="2"/>
        <v>-7311</v>
      </c>
      <c r="L9" s="54">
        <f t="shared" si="3"/>
        <v>28615</v>
      </c>
      <c r="M9" s="100">
        <f>H9/H7</f>
        <v>0.5878293950512149</v>
      </c>
      <c r="N9" s="54">
        <v>69355</v>
      </c>
      <c r="O9" s="54">
        <v>72715</v>
      </c>
      <c r="P9" s="54">
        <v>73997</v>
      </c>
      <c r="Q9" s="54">
        <v>75628</v>
      </c>
      <c r="R9" s="54">
        <v>76104</v>
      </c>
      <c r="S9" s="100">
        <f t="shared" si="4"/>
        <v>6.2939651980746802E-3</v>
      </c>
      <c r="T9" s="100">
        <f t="shared" si="5"/>
        <v>9.7310936486194155E-2</v>
      </c>
      <c r="U9" s="54">
        <f t="shared" si="6"/>
        <v>476</v>
      </c>
      <c r="V9" s="54">
        <f t="shared" si="7"/>
        <v>6749</v>
      </c>
      <c r="W9" s="100">
        <f>R9/R7</f>
        <v>0.59486922944643328</v>
      </c>
    </row>
    <row r="10" spans="2:23" x14ac:dyDescent="0.25">
      <c r="B10" s="99" t="s">
        <v>65</v>
      </c>
      <c r="C10" s="54">
        <v>9622</v>
      </c>
      <c r="D10" s="54">
        <v>11547</v>
      </c>
      <c r="E10" s="54">
        <v>18032</v>
      </c>
      <c r="F10" s="54">
        <v>16489</v>
      </c>
      <c r="G10" s="54">
        <v>18043</v>
      </c>
      <c r="H10" s="54">
        <v>15819</v>
      </c>
      <c r="I10" s="100">
        <f t="shared" si="0"/>
        <v>-0.12326109848694788</v>
      </c>
      <c r="J10" s="100">
        <f t="shared" si="1"/>
        <v>0.36996622499350473</v>
      </c>
      <c r="K10" s="54">
        <f t="shared" si="2"/>
        <v>-2224</v>
      </c>
      <c r="L10" s="54">
        <f t="shared" si="3"/>
        <v>4272</v>
      </c>
      <c r="M10" s="100">
        <f>H10/H7</f>
        <v>0.12590033984098306</v>
      </c>
      <c r="N10" s="54">
        <v>17124</v>
      </c>
      <c r="O10" s="54">
        <v>18487</v>
      </c>
      <c r="P10" s="54">
        <v>16262</v>
      </c>
      <c r="Q10" s="54">
        <v>16639</v>
      </c>
      <c r="R10" s="54">
        <v>15761</v>
      </c>
      <c r="S10" s="100">
        <f t="shared" si="4"/>
        <v>-5.2767594206382551E-2</v>
      </c>
      <c r="T10" s="100">
        <f t="shared" si="5"/>
        <v>-7.9595888811025417E-2</v>
      </c>
      <c r="U10" s="54">
        <f t="shared" si="6"/>
        <v>-878</v>
      </c>
      <c r="V10" s="54">
        <f t="shared" si="7"/>
        <v>-1363</v>
      </c>
      <c r="W10" s="100">
        <f>R10/R7</f>
        <v>0.12319633561054918</v>
      </c>
    </row>
    <row r="11" spans="2:23" x14ac:dyDescent="0.25">
      <c r="B11" s="96" t="s">
        <v>66</v>
      </c>
      <c r="C11" s="97">
        <v>22114</v>
      </c>
      <c r="D11" s="97">
        <v>25665.000000000004</v>
      </c>
      <c r="E11" s="97">
        <v>40223</v>
      </c>
      <c r="F11" s="97">
        <v>36218</v>
      </c>
      <c r="G11" s="97">
        <v>35833</v>
      </c>
      <c r="H11" s="97">
        <v>35968</v>
      </c>
      <c r="I11" s="98">
        <f t="shared" si="0"/>
        <v>3.7674769067619351E-3</v>
      </c>
      <c r="J11" s="98">
        <f t="shared" si="1"/>
        <v>0.40144165205532811</v>
      </c>
      <c r="K11" s="97">
        <f t="shared" si="2"/>
        <v>135</v>
      </c>
      <c r="L11" s="97">
        <f t="shared" si="3"/>
        <v>10302.999999999996</v>
      </c>
      <c r="M11" s="98">
        <f>H11/H7</f>
        <v>0.28626230630257787</v>
      </c>
      <c r="N11" s="97">
        <v>32213</v>
      </c>
      <c r="O11" s="97">
        <v>108497</v>
      </c>
      <c r="P11" s="97">
        <v>36207</v>
      </c>
      <c r="Q11" s="97">
        <v>36000</v>
      </c>
      <c r="R11" s="97">
        <v>36069</v>
      </c>
      <c r="S11" s="98">
        <f t="shared" si="4"/>
        <v>1.9166666666665666E-3</v>
      </c>
      <c r="T11" s="98">
        <f t="shared" si="5"/>
        <v>0.11970322540589207</v>
      </c>
      <c r="U11" s="97">
        <f t="shared" si="6"/>
        <v>69</v>
      </c>
      <c r="V11" s="97">
        <f t="shared" si="7"/>
        <v>3856</v>
      </c>
      <c r="W11" s="98">
        <f>R11/R7</f>
        <v>0.28193443494301751</v>
      </c>
    </row>
    <row r="12" spans="2:23" x14ac:dyDescent="0.25">
      <c r="B12" s="93" t="s">
        <v>47</v>
      </c>
      <c r="C12" s="101">
        <v>23742</v>
      </c>
      <c r="D12" s="101">
        <v>29697.000000000004</v>
      </c>
      <c r="E12" s="101">
        <v>46054</v>
      </c>
      <c r="F12" s="101">
        <v>45902</v>
      </c>
      <c r="G12" s="101">
        <v>49468</v>
      </c>
      <c r="H12" s="101">
        <v>45190.999999999993</v>
      </c>
      <c r="I12" s="102">
        <f t="shared" si="0"/>
        <v>-8.6459933694509772E-2</v>
      </c>
      <c r="J12" s="102">
        <f t="shared" si="1"/>
        <v>0.52173620230999718</v>
      </c>
      <c r="K12" s="101">
        <f t="shared" si="2"/>
        <v>-4277.0000000000073</v>
      </c>
      <c r="L12" s="101">
        <f t="shared" si="3"/>
        <v>15493.999999999989</v>
      </c>
      <c r="M12" s="95">
        <f>H12/H12</f>
        <v>1</v>
      </c>
      <c r="N12" s="101">
        <v>42803</v>
      </c>
      <c r="O12" s="101">
        <v>67766</v>
      </c>
      <c r="P12" s="101">
        <v>46660</v>
      </c>
      <c r="Q12" s="101">
        <v>47014.999999999993</v>
      </c>
      <c r="R12" s="101">
        <v>47690</v>
      </c>
      <c r="S12" s="102">
        <f t="shared" si="4"/>
        <v>1.4357120068063445E-2</v>
      </c>
      <c r="T12" s="102">
        <f t="shared" si="5"/>
        <v>0.11417424012335586</v>
      </c>
      <c r="U12" s="101">
        <f t="shared" si="6"/>
        <v>675.00000000000728</v>
      </c>
      <c r="V12" s="101">
        <f t="shared" si="7"/>
        <v>4887</v>
      </c>
      <c r="W12" s="95">
        <f>R12/R12</f>
        <v>1</v>
      </c>
    </row>
    <row r="13" spans="2:23" x14ac:dyDescent="0.25">
      <c r="B13" s="96" t="s">
        <v>63</v>
      </c>
      <c r="C13" s="97">
        <v>17566</v>
      </c>
      <c r="D13" s="97">
        <v>23340</v>
      </c>
      <c r="E13" s="97">
        <v>34827</v>
      </c>
      <c r="F13" s="97">
        <v>34946</v>
      </c>
      <c r="G13" s="97">
        <v>38139</v>
      </c>
      <c r="H13" s="97">
        <v>33613</v>
      </c>
      <c r="I13" s="98">
        <f t="shared" si="0"/>
        <v>-0.11867117648601166</v>
      </c>
      <c r="J13" s="98">
        <f t="shared" si="1"/>
        <v>0.44014567266495286</v>
      </c>
      <c r="K13" s="97">
        <f t="shared" si="2"/>
        <v>-4526</v>
      </c>
      <c r="L13" s="97">
        <f t="shared" si="3"/>
        <v>10273</v>
      </c>
      <c r="M13" s="98">
        <f>H13/H12</f>
        <v>0.74379854395786782</v>
      </c>
      <c r="N13" s="97">
        <v>34808</v>
      </c>
      <c r="O13" s="97">
        <v>35062</v>
      </c>
      <c r="P13" s="97">
        <v>35650</v>
      </c>
      <c r="Q13" s="97">
        <v>35398</v>
      </c>
      <c r="R13" s="97">
        <v>36020</v>
      </c>
      <c r="S13" s="98">
        <f t="shared" si="4"/>
        <v>1.757161421549247E-2</v>
      </c>
      <c r="T13" s="98">
        <f t="shared" si="5"/>
        <v>3.4819581705355152E-2</v>
      </c>
      <c r="U13" s="97">
        <f t="shared" si="6"/>
        <v>622</v>
      </c>
      <c r="V13" s="97">
        <f t="shared" si="7"/>
        <v>1212</v>
      </c>
      <c r="W13" s="98">
        <f>R13/R12</f>
        <v>0.75529461102956597</v>
      </c>
    </row>
    <row r="14" spans="2:23" x14ac:dyDescent="0.25">
      <c r="B14" s="99" t="s">
        <v>64</v>
      </c>
      <c r="C14" s="54">
        <v>14847</v>
      </c>
      <c r="D14" s="54">
        <v>20181</v>
      </c>
      <c r="E14" s="54">
        <v>29820</v>
      </c>
      <c r="F14" s="54">
        <v>30493</v>
      </c>
      <c r="G14" s="54">
        <v>33752</v>
      </c>
      <c r="H14" s="54">
        <v>29550</v>
      </c>
      <c r="I14" s="100">
        <f t="shared" si="0"/>
        <v>-0.12449632614363593</v>
      </c>
      <c r="J14" s="100">
        <f t="shared" si="1"/>
        <v>0.46424855061691694</v>
      </c>
      <c r="K14" s="54">
        <f t="shared" si="2"/>
        <v>-4202</v>
      </c>
      <c r="L14" s="54">
        <f t="shared" si="3"/>
        <v>9369</v>
      </c>
      <c r="M14" s="100">
        <f>H14/H12</f>
        <v>0.65389126153437638</v>
      </c>
      <c r="N14" s="54">
        <v>29997</v>
      </c>
      <c r="O14" s="54">
        <v>29852</v>
      </c>
      <c r="P14" s="54">
        <v>31325</v>
      </c>
      <c r="Q14" s="54">
        <v>31393.000000000004</v>
      </c>
      <c r="R14" s="54">
        <v>31869</v>
      </c>
      <c r="S14" s="100">
        <f t="shared" si="4"/>
        <v>1.5162615869779739E-2</v>
      </c>
      <c r="T14" s="100">
        <f t="shared" si="5"/>
        <v>6.2406240624062415E-2</v>
      </c>
      <c r="U14" s="54">
        <f t="shared" si="6"/>
        <v>475.99999999999636</v>
      </c>
      <c r="V14" s="54">
        <f t="shared" si="7"/>
        <v>1872</v>
      </c>
      <c r="W14" s="100">
        <f>R14/R12</f>
        <v>0.66825330257915705</v>
      </c>
    </row>
    <row r="15" spans="2:23" x14ac:dyDescent="0.25">
      <c r="B15" s="99" t="s">
        <v>65</v>
      </c>
      <c r="C15" s="54">
        <v>2720</v>
      </c>
      <c r="D15" s="54">
        <v>3159.0000000000005</v>
      </c>
      <c r="E15" s="54">
        <v>5006.0000000000009</v>
      </c>
      <c r="F15" s="54">
        <v>4453</v>
      </c>
      <c r="G15" s="54">
        <v>4387</v>
      </c>
      <c r="H15" s="54">
        <v>4063.0000000000005</v>
      </c>
      <c r="I15" s="100">
        <f t="shared" si="0"/>
        <v>-7.3854570321404078E-2</v>
      </c>
      <c r="J15" s="100">
        <f t="shared" si="1"/>
        <v>0.28616650838873059</v>
      </c>
      <c r="K15" s="54">
        <f t="shared" si="2"/>
        <v>-323.99999999999955</v>
      </c>
      <c r="L15" s="54">
        <f t="shared" si="3"/>
        <v>904</v>
      </c>
      <c r="M15" s="100">
        <f>H15/H12</f>
        <v>8.9907282423491428E-2</v>
      </c>
      <c r="N15" s="54">
        <v>4811</v>
      </c>
      <c r="O15" s="54">
        <v>5209.9999999999991</v>
      </c>
      <c r="P15" s="54">
        <v>4325</v>
      </c>
      <c r="Q15" s="54">
        <v>4004.9999999999995</v>
      </c>
      <c r="R15" s="54">
        <v>4151</v>
      </c>
      <c r="S15" s="100">
        <f t="shared" si="4"/>
        <v>3.645443196005016E-2</v>
      </c>
      <c r="T15" s="100">
        <f t="shared" si="5"/>
        <v>-0.13718561629598836</v>
      </c>
      <c r="U15" s="54">
        <f t="shared" si="6"/>
        <v>146.00000000000045</v>
      </c>
      <c r="V15" s="54">
        <f t="shared" si="7"/>
        <v>-660</v>
      </c>
      <c r="W15" s="100">
        <f>R15/R12</f>
        <v>8.7041308450408889E-2</v>
      </c>
    </row>
    <row r="16" spans="2:23" x14ac:dyDescent="0.25">
      <c r="B16" s="96" t="s">
        <v>66</v>
      </c>
      <c r="C16" s="97">
        <v>6176</v>
      </c>
      <c r="D16" s="97">
        <v>6357</v>
      </c>
      <c r="E16" s="97">
        <v>11227</v>
      </c>
      <c r="F16" s="97">
        <v>10956.000000000002</v>
      </c>
      <c r="G16" s="97">
        <v>11330</v>
      </c>
      <c r="H16" s="97">
        <v>11579</v>
      </c>
      <c r="I16" s="98">
        <f t="shared" si="0"/>
        <v>2.1977052074139358E-2</v>
      </c>
      <c r="J16" s="98">
        <f t="shared" si="1"/>
        <v>0.82145666194745948</v>
      </c>
      <c r="K16" s="97">
        <f t="shared" si="2"/>
        <v>249</v>
      </c>
      <c r="L16" s="97">
        <f t="shared" si="3"/>
        <v>5222</v>
      </c>
      <c r="M16" s="98">
        <f>H16/H12</f>
        <v>0.25622358434201503</v>
      </c>
      <c r="N16" s="97">
        <v>7995</v>
      </c>
      <c r="O16" s="97">
        <v>32704</v>
      </c>
      <c r="P16" s="97">
        <v>11010</v>
      </c>
      <c r="Q16" s="97">
        <v>11617</v>
      </c>
      <c r="R16" s="97">
        <v>11670</v>
      </c>
      <c r="S16" s="98">
        <f t="shared" si="4"/>
        <v>4.5622794180941728E-3</v>
      </c>
      <c r="T16" s="98">
        <f t="shared" si="5"/>
        <v>0.4596622889305817</v>
      </c>
      <c r="U16" s="97">
        <f t="shared" si="6"/>
        <v>53</v>
      </c>
      <c r="V16" s="97">
        <f t="shared" si="7"/>
        <v>3675</v>
      </c>
      <c r="W16" s="98">
        <f>R16/R12</f>
        <v>0.24470538897043406</v>
      </c>
    </row>
    <row r="17" spans="2:23" x14ac:dyDescent="0.25">
      <c r="B17" s="93" t="s">
        <v>48</v>
      </c>
      <c r="C17" s="101">
        <v>20336</v>
      </c>
      <c r="D17" s="101">
        <v>24064</v>
      </c>
      <c r="E17" s="101">
        <v>41119</v>
      </c>
      <c r="F17" s="101">
        <v>37475</v>
      </c>
      <c r="G17" s="101">
        <v>39556</v>
      </c>
      <c r="H17" s="101">
        <v>37223</v>
      </c>
      <c r="I17" s="102">
        <f t="shared" si="0"/>
        <v>-5.897967438568108E-2</v>
      </c>
      <c r="J17" s="102">
        <f t="shared" si="1"/>
        <v>0.5468334441489362</v>
      </c>
      <c r="K17" s="101">
        <f t="shared" si="2"/>
        <v>-2333</v>
      </c>
      <c r="L17" s="101">
        <f t="shared" si="3"/>
        <v>13159</v>
      </c>
      <c r="M17" s="95">
        <f>H17/H17</f>
        <v>1</v>
      </c>
      <c r="N17" s="101">
        <v>36098</v>
      </c>
      <c r="O17" s="101">
        <v>73850</v>
      </c>
      <c r="P17" s="101">
        <v>37203</v>
      </c>
      <c r="Q17" s="101">
        <v>38115</v>
      </c>
      <c r="R17" s="101">
        <v>37015</v>
      </c>
      <c r="S17" s="102">
        <f t="shared" si="4"/>
        <v>-2.8860028860028808E-2</v>
      </c>
      <c r="T17" s="102">
        <f t="shared" si="5"/>
        <v>2.5403069422128555E-2</v>
      </c>
      <c r="U17" s="101">
        <f t="shared" si="6"/>
        <v>-1100</v>
      </c>
      <c r="V17" s="101">
        <f t="shared" si="7"/>
        <v>917</v>
      </c>
      <c r="W17" s="95">
        <f>R17/R17</f>
        <v>1</v>
      </c>
    </row>
    <row r="18" spans="2:23" x14ac:dyDescent="0.25">
      <c r="B18" s="96" t="s">
        <v>63</v>
      </c>
      <c r="C18" s="97">
        <v>9541</v>
      </c>
      <c r="D18" s="97">
        <v>10403</v>
      </c>
      <c r="E18" s="97">
        <v>21063</v>
      </c>
      <c r="F18" s="97">
        <v>20218</v>
      </c>
      <c r="G18" s="97">
        <v>23099</v>
      </c>
      <c r="H18" s="97">
        <v>21014</v>
      </c>
      <c r="I18" s="98">
        <f t="shared" si="0"/>
        <v>-9.0263647776960054E-2</v>
      </c>
      <c r="J18" s="98">
        <f t="shared" si="1"/>
        <v>1.0199942324329521</v>
      </c>
      <c r="K18" s="97">
        <f t="shared" si="2"/>
        <v>-2085</v>
      </c>
      <c r="L18" s="97">
        <f t="shared" si="3"/>
        <v>10611</v>
      </c>
      <c r="M18" s="98">
        <f>H18/H17</f>
        <v>0.56454342745076969</v>
      </c>
      <c r="N18" s="97">
        <v>19205</v>
      </c>
      <c r="O18" s="97">
        <v>21626</v>
      </c>
      <c r="P18" s="97">
        <v>19969.000000000004</v>
      </c>
      <c r="Q18" s="97">
        <v>21899</v>
      </c>
      <c r="R18" s="97">
        <v>20798.999999999996</v>
      </c>
      <c r="S18" s="98">
        <f t="shared" si="4"/>
        <v>-5.0230604137175394E-2</v>
      </c>
      <c r="T18" s="98">
        <f t="shared" si="5"/>
        <v>8.2999218953397458E-2</v>
      </c>
      <c r="U18" s="97">
        <f t="shared" si="6"/>
        <v>-1100.0000000000036</v>
      </c>
      <c r="V18" s="97">
        <f t="shared" si="7"/>
        <v>1593.9999999999964</v>
      </c>
      <c r="W18" s="98">
        <f>R18/R17</f>
        <v>0.56190733486424416</v>
      </c>
    </row>
    <row r="19" spans="2:23" x14ac:dyDescent="0.25">
      <c r="B19" s="99" t="s">
        <v>64</v>
      </c>
      <c r="C19" s="54">
        <v>6536</v>
      </c>
      <c r="D19" s="54">
        <v>7396</v>
      </c>
      <c r="E19" s="54">
        <v>15144</v>
      </c>
      <c r="F19" s="54">
        <v>15039</v>
      </c>
      <c r="G19" s="54">
        <v>16914</v>
      </c>
      <c r="H19" s="54">
        <v>16222</v>
      </c>
      <c r="I19" s="100">
        <f t="shared" si="0"/>
        <v>-4.0912853257656367E-2</v>
      </c>
      <c r="J19" s="100">
        <f t="shared" si="1"/>
        <v>1.1933477555435372</v>
      </c>
      <c r="K19" s="54">
        <f t="shared" si="2"/>
        <v>-692</v>
      </c>
      <c r="L19" s="54">
        <f t="shared" si="3"/>
        <v>8826</v>
      </c>
      <c r="M19" s="100">
        <f>H19/H17</f>
        <v>0.43580581898288695</v>
      </c>
      <c r="N19" s="54">
        <v>13984</v>
      </c>
      <c r="O19" s="54">
        <v>15490</v>
      </c>
      <c r="P19" s="54">
        <v>15118</v>
      </c>
      <c r="Q19" s="54">
        <v>16190</v>
      </c>
      <c r="R19" s="54">
        <v>16190</v>
      </c>
      <c r="S19" s="100">
        <f t="shared" si="4"/>
        <v>0</v>
      </c>
      <c r="T19" s="100">
        <f t="shared" si="5"/>
        <v>0.15775171624713957</v>
      </c>
      <c r="U19" s="54">
        <f t="shared" si="6"/>
        <v>0</v>
      </c>
      <c r="V19" s="54">
        <f t="shared" si="7"/>
        <v>2206</v>
      </c>
      <c r="W19" s="100">
        <f>R19/R17</f>
        <v>0.43739024719708225</v>
      </c>
    </row>
    <row r="20" spans="2:23" x14ac:dyDescent="0.25">
      <c r="B20" s="99" t="s">
        <v>65</v>
      </c>
      <c r="C20" s="54">
        <v>3004.9999999999995</v>
      </c>
      <c r="D20" s="54">
        <v>3007.0000000000005</v>
      </c>
      <c r="E20" s="54">
        <v>5919</v>
      </c>
      <c r="F20" s="54">
        <v>5179</v>
      </c>
      <c r="G20" s="54">
        <v>6185</v>
      </c>
      <c r="H20" s="54">
        <v>4792</v>
      </c>
      <c r="I20" s="100">
        <f t="shared" si="0"/>
        <v>-0.22522231204527077</v>
      </c>
      <c r="J20" s="100">
        <f t="shared" si="1"/>
        <v>0.59361489857000316</v>
      </c>
      <c r="K20" s="54">
        <f t="shared" si="2"/>
        <v>-1393</v>
      </c>
      <c r="L20" s="54">
        <f t="shared" si="3"/>
        <v>1784.9999999999995</v>
      </c>
      <c r="M20" s="100">
        <f>H20/H17</f>
        <v>0.12873760846788276</v>
      </c>
      <c r="N20" s="54">
        <v>5221</v>
      </c>
      <c r="O20" s="54">
        <v>6136</v>
      </c>
      <c r="P20" s="54">
        <v>4851</v>
      </c>
      <c r="Q20" s="54">
        <v>5709</v>
      </c>
      <c r="R20" s="54">
        <v>4609</v>
      </c>
      <c r="S20" s="100">
        <f t="shared" si="4"/>
        <v>-0.19267822736030826</v>
      </c>
      <c r="T20" s="100">
        <f t="shared" si="5"/>
        <v>-0.11721892357785868</v>
      </c>
      <c r="U20" s="54">
        <f t="shared" si="6"/>
        <v>-1100</v>
      </c>
      <c r="V20" s="54">
        <f t="shared" si="7"/>
        <v>-612</v>
      </c>
      <c r="W20" s="100">
        <f>R20/R17</f>
        <v>0.12451708766716196</v>
      </c>
    </row>
    <row r="21" spans="2:23" x14ac:dyDescent="0.25">
      <c r="B21" s="96" t="s">
        <v>66</v>
      </c>
      <c r="C21" s="97">
        <v>10795</v>
      </c>
      <c r="D21" s="97">
        <v>13661</v>
      </c>
      <c r="E21" s="97">
        <v>20056.000000000004</v>
      </c>
      <c r="F21" s="97">
        <v>17257</v>
      </c>
      <c r="G21" s="97">
        <v>16457</v>
      </c>
      <c r="H21" s="97">
        <v>16209</v>
      </c>
      <c r="I21" s="98">
        <f t="shared" si="0"/>
        <v>-1.5069575256729695E-2</v>
      </c>
      <c r="J21" s="98">
        <f t="shared" si="1"/>
        <v>0.18651636044213449</v>
      </c>
      <c r="K21" s="97">
        <f t="shared" si="2"/>
        <v>-248</v>
      </c>
      <c r="L21" s="97">
        <f t="shared" si="3"/>
        <v>2548</v>
      </c>
      <c r="M21" s="98">
        <f>H21/H17</f>
        <v>0.43545657254923031</v>
      </c>
      <c r="N21" s="97">
        <v>16893</v>
      </c>
      <c r="O21" s="97">
        <v>52224</v>
      </c>
      <c r="P21" s="97">
        <v>17234</v>
      </c>
      <c r="Q21" s="97">
        <v>16216</v>
      </c>
      <c r="R21" s="97">
        <v>16216</v>
      </c>
      <c r="S21" s="98">
        <f t="shared" si="4"/>
        <v>0</v>
      </c>
      <c r="T21" s="98">
        <f t="shared" si="5"/>
        <v>-4.0075771029420504E-2</v>
      </c>
      <c r="U21" s="97">
        <f t="shared" si="6"/>
        <v>0</v>
      </c>
      <c r="V21" s="97">
        <f t="shared" si="7"/>
        <v>-677</v>
      </c>
      <c r="W21" s="98">
        <f>R21/R17</f>
        <v>0.43809266513575579</v>
      </c>
    </row>
    <row r="22" spans="2:23" x14ac:dyDescent="0.25">
      <c r="B22" s="93" t="s">
        <v>49</v>
      </c>
      <c r="C22" s="101">
        <v>437</v>
      </c>
      <c r="D22" s="101">
        <v>669</v>
      </c>
      <c r="E22" s="101">
        <v>860</v>
      </c>
      <c r="F22" s="101">
        <v>900</v>
      </c>
      <c r="G22" s="101">
        <v>975</v>
      </c>
      <c r="H22" s="101">
        <v>912</v>
      </c>
      <c r="I22" s="102">
        <f t="shared" si="0"/>
        <v>-6.461538461538463E-2</v>
      </c>
      <c r="J22" s="102">
        <f t="shared" si="1"/>
        <v>0.36322869955156944</v>
      </c>
      <c r="K22" s="101">
        <f t="shared" si="2"/>
        <v>-63</v>
      </c>
      <c r="L22" s="101">
        <f t="shared" si="3"/>
        <v>243</v>
      </c>
      <c r="M22" s="102">
        <f>H22/H22</f>
        <v>1</v>
      </c>
      <c r="N22" s="101">
        <v>802</v>
      </c>
      <c r="O22" s="101">
        <v>940</v>
      </c>
      <c r="P22" s="101">
        <v>912</v>
      </c>
      <c r="Q22" s="101">
        <v>912</v>
      </c>
      <c r="R22" s="101">
        <v>905</v>
      </c>
      <c r="S22" s="102">
        <f t="shared" si="4"/>
        <v>-7.6754385964912242E-3</v>
      </c>
      <c r="T22" s="102">
        <f t="shared" si="5"/>
        <v>0.12842892768079794</v>
      </c>
      <c r="U22" s="101">
        <f t="shared" si="6"/>
        <v>-7</v>
      </c>
      <c r="V22" s="101">
        <f t="shared" si="7"/>
        <v>103</v>
      </c>
      <c r="W22" s="102">
        <f>R22/R22</f>
        <v>1</v>
      </c>
    </row>
    <row r="23" spans="2:23" x14ac:dyDescent="0.25">
      <c r="B23" s="96" t="s">
        <v>63</v>
      </c>
      <c r="C23" s="97">
        <v>386</v>
      </c>
      <c r="D23" s="97">
        <v>669</v>
      </c>
      <c r="E23" s="97">
        <v>855</v>
      </c>
      <c r="F23" s="97">
        <v>886</v>
      </c>
      <c r="G23" s="97">
        <v>960</v>
      </c>
      <c r="H23" s="97">
        <v>894</v>
      </c>
      <c r="I23" s="98">
        <f t="shared" si="0"/>
        <v>-6.8749999999999978E-2</v>
      </c>
      <c r="J23" s="98">
        <f t="shared" si="1"/>
        <v>0.33632286995515703</v>
      </c>
      <c r="K23" s="97">
        <f t="shared" si="2"/>
        <v>-66</v>
      </c>
      <c r="L23" s="97">
        <f t="shared" si="3"/>
        <v>225</v>
      </c>
      <c r="M23" s="98">
        <f>H23/H22</f>
        <v>0.98026315789473684</v>
      </c>
      <c r="N23" s="97">
        <v>802</v>
      </c>
      <c r="O23" s="97">
        <v>898</v>
      </c>
      <c r="P23" s="97">
        <v>898</v>
      </c>
      <c r="Q23" s="97">
        <v>898</v>
      </c>
      <c r="R23" s="97">
        <v>887</v>
      </c>
      <c r="S23" s="98">
        <f t="shared" si="4"/>
        <v>-1.2249443207126953E-2</v>
      </c>
      <c r="T23" s="98">
        <f t="shared" si="5"/>
        <v>0.10598503740648368</v>
      </c>
      <c r="U23" s="97">
        <f t="shared" si="6"/>
        <v>-11</v>
      </c>
      <c r="V23" s="97">
        <f t="shared" si="7"/>
        <v>85</v>
      </c>
      <c r="W23" s="98">
        <f>R23/R22</f>
        <v>0.98011049723756904</v>
      </c>
    </row>
    <row r="24" spans="2:23" x14ac:dyDescent="0.25">
      <c r="B24" s="96" t="s">
        <v>66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0"/>
        <v>-</v>
      </c>
      <c r="J24" s="98" t="str">
        <f t="shared" si="1"/>
        <v>-</v>
      </c>
      <c r="K24" s="97">
        <f t="shared" si="2"/>
        <v>0</v>
      </c>
      <c r="L24" s="97">
        <f t="shared" si="3"/>
        <v>0</v>
      </c>
      <c r="M24" s="98">
        <f>H24/H22</f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8" t="str">
        <f t="shared" si="4"/>
        <v>-</v>
      </c>
      <c r="T24" s="98" t="str">
        <f t="shared" si="5"/>
        <v>-</v>
      </c>
      <c r="U24" s="97">
        <f t="shared" si="6"/>
        <v>0</v>
      </c>
      <c r="V24" s="97">
        <f t="shared" si="7"/>
        <v>0</v>
      </c>
      <c r="W24" s="98">
        <f>R24/R22</f>
        <v>0</v>
      </c>
    </row>
    <row r="25" spans="2:23" x14ac:dyDescent="0.25">
      <c r="B25" s="93" t="s">
        <v>50</v>
      </c>
      <c r="C25" s="101">
        <v>2900</v>
      </c>
      <c r="D25" s="101">
        <v>4012</v>
      </c>
      <c r="E25" s="101">
        <v>4679</v>
      </c>
      <c r="F25" s="101">
        <v>4395</v>
      </c>
      <c r="G25" s="101">
        <v>4748</v>
      </c>
      <c r="H25" s="101">
        <v>4616</v>
      </c>
      <c r="I25" s="102">
        <f t="shared" si="0"/>
        <v>-2.780117944397642E-2</v>
      </c>
      <c r="J25" s="102">
        <f t="shared" si="1"/>
        <v>0.15054835493519447</v>
      </c>
      <c r="K25" s="101">
        <f t="shared" si="2"/>
        <v>-132</v>
      </c>
      <c r="L25" s="101">
        <f t="shared" si="3"/>
        <v>604</v>
      </c>
      <c r="M25" s="95">
        <f>H25/H25</f>
        <v>1</v>
      </c>
      <c r="N25" s="101">
        <v>4562</v>
      </c>
      <c r="O25" s="101">
        <v>5961.9999999999991</v>
      </c>
      <c r="P25" s="101">
        <v>4562</v>
      </c>
      <c r="Q25" s="101">
        <v>4616</v>
      </c>
      <c r="R25" s="101">
        <v>4616</v>
      </c>
      <c r="S25" s="102">
        <f t="shared" si="4"/>
        <v>0</v>
      </c>
      <c r="T25" s="102">
        <f t="shared" si="5"/>
        <v>1.1836913634370783E-2</v>
      </c>
      <c r="U25" s="101">
        <f t="shared" si="6"/>
        <v>0</v>
      </c>
      <c r="V25" s="101">
        <f t="shared" si="7"/>
        <v>54</v>
      </c>
      <c r="W25" s="95">
        <f>R25/R25</f>
        <v>1</v>
      </c>
    </row>
    <row r="26" spans="2:23" x14ac:dyDescent="0.25">
      <c r="B26" s="96" t="s">
        <v>63</v>
      </c>
      <c r="C26" s="97">
        <v>2534</v>
      </c>
      <c r="D26" s="97">
        <v>3312</v>
      </c>
      <c r="E26" s="97">
        <v>3862</v>
      </c>
      <c r="F26" s="97">
        <v>3695.0000000000005</v>
      </c>
      <c r="G26" s="97">
        <v>4048</v>
      </c>
      <c r="H26" s="97">
        <v>3916</v>
      </c>
      <c r="I26" s="98">
        <f t="shared" si="0"/>
        <v>-3.2608695652173947E-2</v>
      </c>
      <c r="J26" s="98">
        <f t="shared" si="1"/>
        <v>0.18236714975845403</v>
      </c>
      <c r="K26" s="97">
        <f t="shared" si="2"/>
        <v>-132</v>
      </c>
      <c r="L26" s="97">
        <f t="shared" si="3"/>
        <v>604</v>
      </c>
      <c r="M26" s="98">
        <f>H26/H25</f>
        <v>0.84835355285961866</v>
      </c>
      <c r="N26" s="97">
        <v>3862</v>
      </c>
      <c r="O26" s="97">
        <v>3862</v>
      </c>
      <c r="P26" s="97">
        <v>3862</v>
      </c>
      <c r="Q26" s="97">
        <v>3916</v>
      </c>
      <c r="R26" s="97">
        <v>3916</v>
      </c>
      <c r="S26" s="98">
        <f t="shared" si="4"/>
        <v>0</v>
      </c>
      <c r="T26" s="98">
        <f t="shared" si="5"/>
        <v>1.3982392542724043E-2</v>
      </c>
      <c r="U26" s="97">
        <f t="shared" si="6"/>
        <v>0</v>
      </c>
      <c r="V26" s="97">
        <f t="shared" si="7"/>
        <v>54</v>
      </c>
      <c r="W26" s="98">
        <f>R26/R25</f>
        <v>0.84835355285961866</v>
      </c>
    </row>
    <row r="27" spans="2:23" x14ac:dyDescent="0.25">
      <c r="B27" s="99" t="s">
        <v>64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0"/>
        <v>-</v>
      </c>
      <c r="J27" s="100" t="str">
        <f t="shared" si="1"/>
        <v>-</v>
      </c>
      <c r="K27" s="54">
        <f t="shared" si="2"/>
        <v>0</v>
      </c>
      <c r="L27" s="54">
        <f t="shared" si="3"/>
        <v>0</v>
      </c>
      <c r="M27" s="100">
        <f>H27/H25</f>
        <v>0</v>
      </c>
      <c r="N27" s="54">
        <v>0</v>
      </c>
      <c r="O27" s="54">
        <v>0</v>
      </c>
      <c r="P27" s="54">
        <v>0</v>
      </c>
      <c r="Q27" s="54">
        <v>0</v>
      </c>
      <c r="R27" s="54">
        <v>0</v>
      </c>
      <c r="S27" s="100" t="str">
        <f t="shared" si="4"/>
        <v>-</v>
      </c>
      <c r="T27" s="100" t="str">
        <f t="shared" si="5"/>
        <v>-</v>
      </c>
      <c r="U27" s="54">
        <f t="shared" si="6"/>
        <v>0</v>
      </c>
      <c r="V27" s="54">
        <f t="shared" si="7"/>
        <v>0</v>
      </c>
      <c r="W27" s="100">
        <f>R27/R25</f>
        <v>0</v>
      </c>
    </row>
    <row r="28" spans="2:23" x14ac:dyDescent="0.25">
      <c r="B28" s="99" t="s">
        <v>65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0"/>
        <v>-</v>
      </c>
      <c r="J28" s="100" t="str">
        <f t="shared" si="1"/>
        <v>-</v>
      </c>
      <c r="K28" s="54">
        <f t="shared" si="2"/>
        <v>0</v>
      </c>
      <c r="L28" s="54">
        <f t="shared" si="3"/>
        <v>0</v>
      </c>
      <c r="M28" s="100">
        <f>H28/H25</f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100" t="str">
        <f t="shared" si="4"/>
        <v>-</v>
      </c>
      <c r="T28" s="100" t="str">
        <f t="shared" si="5"/>
        <v>-</v>
      </c>
      <c r="U28" s="54">
        <f t="shared" si="6"/>
        <v>0</v>
      </c>
      <c r="V28" s="54">
        <f t="shared" si="7"/>
        <v>0</v>
      </c>
      <c r="W28" s="100">
        <f>R28/R25</f>
        <v>0</v>
      </c>
    </row>
    <row r="29" spans="2:23" x14ac:dyDescent="0.25">
      <c r="B29" s="93" t="s">
        <v>51</v>
      </c>
      <c r="C29" s="101">
        <v>9244</v>
      </c>
      <c r="D29" s="101">
        <v>11050</v>
      </c>
      <c r="E29" s="101">
        <v>19088</v>
      </c>
      <c r="F29" s="101">
        <v>19209</v>
      </c>
      <c r="G29" s="101">
        <v>21355</v>
      </c>
      <c r="H29" s="101">
        <v>20029</v>
      </c>
      <c r="I29" s="102">
        <f t="shared" si="0"/>
        <v>-6.2093186607351858E-2</v>
      </c>
      <c r="J29" s="102">
        <f t="shared" si="1"/>
        <v>0.8125791855203619</v>
      </c>
      <c r="K29" s="101">
        <f t="shared" si="2"/>
        <v>-1326</v>
      </c>
      <c r="L29" s="101">
        <f t="shared" si="3"/>
        <v>8979</v>
      </c>
      <c r="M29" s="95">
        <f>H29/H29</f>
        <v>1</v>
      </c>
      <c r="N29" s="101">
        <v>17263</v>
      </c>
      <c r="O29" s="101">
        <v>27757</v>
      </c>
      <c r="P29" s="101">
        <v>19434</v>
      </c>
      <c r="Q29" s="101">
        <v>19850</v>
      </c>
      <c r="R29" s="101">
        <v>20110.999999999996</v>
      </c>
      <c r="S29" s="102">
        <f t="shared" si="4"/>
        <v>1.3148614609571618E-2</v>
      </c>
      <c r="T29" s="102">
        <f t="shared" si="5"/>
        <v>0.16497711869315856</v>
      </c>
      <c r="U29" s="101">
        <f t="shared" si="6"/>
        <v>260.99999999999636</v>
      </c>
      <c r="V29" s="101">
        <f t="shared" si="7"/>
        <v>2847.9999999999964</v>
      </c>
      <c r="W29" s="95">
        <f>R29/R29</f>
        <v>1</v>
      </c>
    </row>
    <row r="30" spans="2:23" x14ac:dyDescent="0.25">
      <c r="B30" s="96" t="s">
        <v>63</v>
      </c>
      <c r="C30" s="97">
        <v>6499</v>
      </c>
      <c r="D30" s="97">
        <v>8111</v>
      </c>
      <c r="E30" s="97">
        <v>14162</v>
      </c>
      <c r="F30" s="97">
        <v>14862</v>
      </c>
      <c r="G30" s="97">
        <v>16965</v>
      </c>
      <c r="H30" s="97">
        <v>15578</v>
      </c>
      <c r="I30" s="98">
        <f t="shared" si="0"/>
        <v>-8.1756557618626546E-2</v>
      </c>
      <c r="J30" s="98">
        <f t="shared" si="1"/>
        <v>0.92060165207742561</v>
      </c>
      <c r="K30" s="97">
        <f t="shared" si="2"/>
        <v>-1387</v>
      </c>
      <c r="L30" s="97">
        <f t="shared" si="3"/>
        <v>7467</v>
      </c>
      <c r="M30" s="98">
        <f>H30/H29</f>
        <v>0.77777223026611408</v>
      </c>
      <c r="N30" s="97">
        <v>13346</v>
      </c>
      <c r="O30" s="97">
        <v>14712</v>
      </c>
      <c r="P30" s="97">
        <v>15087</v>
      </c>
      <c r="Q30" s="97">
        <v>15409</v>
      </c>
      <c r="R30" s="97">
        <v>15658</v>
      </c>
      <c r="S30" s="98">
        <f t="shared" si="4"/>
        <v>1.6159387371016853E-2</v>
      </c>
      <c r="T30" s="98">
        <f t="shared" si="5"/>
        <v>0.17323542634497224</v>
      </c>
      <c r="U30" s="97">
        <f t="shared" si="6"/>
        <v>249</v>
      </c>
      <c r="V30" s="97">
        <f t="shared" si="7"/>
        <v>2312</v>
      </c>
      <c r="W30" s="98">
        <f>R30/R29</f>
        <v>0.77857888717617241</v>
      </c>
    </row>
    <row r="31" spans="2:23" x14ac:dyDescent="0.25">
      <c r="B31" s="99" t="s">
        <v>64</v>
      </c>
      <c r="C31" s="54">
        <v>5381</v>
      </c>
      <c r="D31" s="54">
        <v>6550.0000000000009</v>
      </c>
      <c r="E31" s="54">
        <v>12095</v>
      </c>
      <c r="F31" s="54">
        <v>12793</v>
      </c>
      <c r="G31" s="54">
        <v>14687</v>
      </c>
      <c r="H31" s="54">
        <v>13443.999999999998</v>
      </c>
      <c r="I31" s="100">
        <f t="shared" si="0"/>
        <v>-8.463266834615657E-2</v>
      </c>
      <c r="J31" s="100">
        <f t="shared" si="1"/>
        <v>1.0525190839694649</v>
      </c>
      <c r="K31" s="54">
        <f t="shared" si="2"/>
        <v>-1243.0000000000018</v>
      </c>
      <c r="L31" s="54">
        <f t="shared" si="3"/>
        <v>6893.9999999999973</v>
      </c>
      <c r="M31" s="100">
        <f>H31/H29</f>
        <v>0.67122672125418137</v>
      </c>
      <c r="N31" s="54">
        <v>10997</v>
      </c>
      <c r="O31" s="54">
        <v>12807</v>
      </c>
      <c r="P31" s="54">
        <v>12988.000000000002</v>
      </c>
      <c r="Q31" s="54">
        <v>13306</v>
      </c>
      <c r="R31" s="54">
        <v>13498</v>
      </c>
      <c r="S31" s="100">
        <f t="shared" si="4"/>
        <v>1.4429580640312745E-2</v>
      </c>
      <c r="T31" s="100">
        <f t="shared" si="5"/>
        <v>0.22742566154405752</v>
      </c>
      <c r="U31" s="54">
        <f t="shared" si="6"/>
        <v>192</v>
      </c>
      <c r="V31" s="54">
        <f t="shared" si="7"/>
        <v>2501</v>
      </c>
      <c r="W31" s="100">
        <f>R31/R29</f>
        <v>0.67117497886728672</v>
      </c>
    </row>
    <row r="32" spans="2:23" x14ac:dyDescent="0.25">
      <c r="B32" s="99" t="s">
        <v>65</v>
      </c>
      <c r="C32" s="54">
        <v>1118</v>
      </c>
      <c r="D32" s="54">
        <v>1561</v>
      </c>
      <c r="E32" s="54">
        <v>2067</v>
      </c>
      <c r="F32" s="54">
        <v>2069</v>
      </c>
      <c r="G32" s="54">
        <v>2278</v>
      </c>
      <c r="H32" s="54">
        <v>2134</v>
      </c>
      <c r="I32" s="100">
        <f t="shared" si="0"/>
        <v>-6.3213345039508373E-2</v>
      </c>
      <c r="J32" s="100">
        <f t="shared" si="1"/>
        <v>0.36707238949391408</v>
      </c>
      <c r="K32" s="54">
        <f t="shared" si="2"/>
        <v>-144</v>
      </c>
      <c r="L32" s="54">
        <f t="shared" si="3"/>
        <v>573</v>
      </c>
      <c r="M32" s="100">
        <f>H32/H29</f>
        <v>0.1065455090119327</v>
      </c>
      <c r="N32" s="54">
        <v>2349</v>
      </c>
      <c r="O32" s="54">
        <v>1905</v>
      </c>
      <c r="P32" s="54">
        <v>2099</v>
      </c>
      <c r="Q32" s="54">
        <v>2103</v>
      </c>
      <c r="R32" s="54">
        <v>2160</v>
      </c>
      <c r="S32" s="100">
        <f t="shared" si="4"/>
        <v>2.7104136947218249E-2</v>
      </c>
      <c r="T32" s="100">
        <f t="shared" si="5"/>
        <v>-8.0459770114942541E-2</v>
      </c>
      <c r="U32" s="54">
        <f t="shared" si="6"/>
        <v>57</v>
      </c>
      <c r="V32" s="54">
        <f t="shared" si="7"/>
        <v>-189</v>
      </c>
      <c r="W32" s="100">
        <f>R32/R29</f>
        <v>0.1074039083088857</v>
      </c>
    </row>
    <row r="33" spans="2:23" x14ac:dyDescent="0.25">
      <c r="B33" s="96" t="s">
        <v>66</v>
      </c>
      <c r="C33" s="97">
        <v>2744.9999999999995</v>
      </c>
      <c r="D33" s="97">
        <v>2940</v>
      </c>
      <c r="E33" s="97">
        <v>4926.0000000000009</v>
      </c>
      <c r="F33" s="97">
        <v>4347</v>
      </c>
      <c r="G33" s="97">
        <v>4390</v>
      </c>
      <c r="H33" s="97">
        <v>4451</v>
      </c>
      <c r="I33" s="98">
        <f t="shared" si="0"/>
        <v>1.3895216400911181E-2</v>
      </c>
      <c r="J33" s="98">
        <f t="shared" si="1"/>
        <v>0.5139455782312925</v>
      </c>
      <c r="K33" s="97">
        <f t="shared" si="2"/>
        <v>61</v>
      </c>
      <c r="L33" s="97">
        <f t="shared" si="3"/>
        <v>1511</v>
      </c>
      <c r="M33" s="98">
        <f>H33/H29</f>
        <v>0.22222776973388586</v>
      </c>
      <c r="N33" s="97">
        <v>3916.9999999999995</v>
      </c>
      <c r="O33" s="97">
        <v>13045</v>
      </c>
      <c r="P33" s="97">
        <v>4347</v>
      </c>
      <c r="Q33" s="97">
        <v>4441</v>
      </c>
      <c r="R33" s="97">
        <v>4453</v>
      </c>
      <c r="S33" s="98">
        <f t="shared" si="4"/>
        <v>2.7020941229451978E-3</v>
      </c>
      <c r="T33" s="98">
        <f t="shared" si="5"/>
        <v>0.13683941792187904</v>
      </c>
      <c r="U33" s="97">
        <f t="shared" si="6"/>
        <v>12</v>
      </c>
      <c r="V33" s="97">
        <f t="shared" si="7"/>
        <v>536.00000000000045</v>
      </c>
      <c r="W33" s="98">
        <f>R33/R29</f>
        <v>0.22142111282382779</v>
      </c>
    </row>
    <row r="34" spans="2:23" x14ac:dyDescent="0.25">
      <c r="B34" s="93" t="s">
        <v>52</v>
      </c>
      <c r="C34" s="101">
        <v>339</v>
      </c>
      <c r="D34" s="101">
        <v>532</v>
      </c>
      <c r="E34" s="101">
        <v>654</v>
      </c>
      <c r="F34" s="101">
        <v>663</v>
      </c>
      <c r="G34" s="101">
        <v>729</v>
      </c>
      <c r="H34" s="101">
        <v>673</v>
      </c>
      <c r="I34" s="102">
        <f t="shared" si="0"/>
        <v>-7.6817558299039801E-2</v>
      </c>
      <c r="J34" s="102">
        <f t="shared" si="1"/>
        <v>0.26503759398496252</v>
      </c>
      <c r="K34" s="101">
        <f t="shared" si="2"/>
        <v>-56</v>
      </c>
      <c r="L34" s="101">
        <f t="shared" si="3"/>
        <v>141</v>
      </c>
      <c r="M34" s="95">
        <f>H34/H34</f>
        <v>1</v>
      </c>
      <c r="N34" s="101">
        <v>625</v>
      </c>
      <c r="O34" s="101">
        <v>663</v>
      </c>
      <c r="P34" s="101">
        <v>673</v>
      </c>
      <c r="Q34" s="101">
        <v>673</v>
      </c>
      <c r="R34" s="101">
        <v>673</v>
      </c>
      <c r="S34" s="102">
        <f t="shared" si="4"/>
        <v>0</v>
      </c>
      <c r="T34" s="102">
        <f t="shared" si="5"/>
        <v>7.6799999999999979E-2</v>
      </c>
      <c r="U34" s="101">
        <f t="shared" si="6"/>
        <v>0</v>
      </c>
      <c r="V34" s="101">
        <f t="shared" si="7"/>
        <v>48</v>
      </c>
      <c r="W34" s="95">
        <f>R34/R34</f>
        <v>1</v>
      </c>
    </row>
    <row r="35" spans="2:23" x14ac:dyDescent="0.25">
      <c r="B35" s="96" t="s">
        <v>63</v>
      </c>
      <c r="C35" s="97">
        <v>339</v>
      </c>
      <c r="D35" s="97">
        <v>532</v>
      </c>
      <c r="E35" s="97">
        <v>654</v>
      </c>
      <c r="F35" s="97">
        <v>663</v>
      </c>
      <c r="G35" s="97">
        <v>729</v>
      </c>
      <c r="H35" s="97">
        <v>673</v>
      </c>
      <c r="I35" s="98">
        <f t="shared" si="0"/>
        <v>-7.6817558299039801E-2</v>
      </c>
      <c r="J35" s="98">
        <f t="shared" si="1"/>
        <v>0.26503759398496252</v>
      </c>
      <c r="K35" s="97">
        <f t="shared" si="2"/>
        <v>-56</v>
      </c>
      <c r="L35" s="97">
        <f t="shared" si="3"/>
        <v>141</v>
      </c>
      <c r="M35" s="98">
        <f>H35/H34</f>
        <v>1</v>
      </c>
      <c r="N35" s="97">
        <v>625</v>
      </c>
      <c r="O35" s="97">
        <v>663</v>
      </c>
      <c r="P35" s="97">
        <v>673</v>
      </c>
      <c r="Q35" s="97">
        <v>673</v>
      </c>
      <c r="R35" s="97">
        <v>673</v>
      </c>
      <c r="S35" s="98">
        <f t="shared" si="4"/>
        <v>0</v>
      </c>
      <c r="T35" s="98">
        <f t="shared" si="5"/>
        <v>7.6799999999999979E-2</v>
      </c>
      <c r="U35" s="97">
        <f t="shared" si="6"/>
        <v>0</v>
      </c>
      <c r="V35" s="97">
        <f t="shared" si="7"/>
        <v>48</v>
      </c>
      <c r="W35" s="98">
        <f>R35/R34</f>
        <v>1</v>
      </c>
    </row>
    <row r="36" spans="2:23" x14ac:dyDescent="0.25">
      <c r="B36" s="93" t="s">
        <v>53</v>
      </c>
      <c r="C36" s="101">
        <v>2132</v>
      </c>
      <c r="D36" s="101">
        <v>2908</v>
      </c>
      <c r="E36" s="101">
        <v>4643</v>
      </c>
      <c r="F36" s="101">
        <v>4790.0000000000009</v>
      </c>
      <c r="G36" s="101">
        <v>5123</v>
      </c>
      <c r="H36" s="101">
        <v>4725</v>
      </c>
      <c r="I36" s="102">
        <f t="shared" si="0"/>
        <v>-7.7688854186999778E-2</v>
      </c>
      <c r="J36" s="102">
        <f t="shared" si="1"/>
        <v>0.62482806052269591</v>
      </c>
      <c r="K36" s="101">
        <f t="shared" si="2"/>
        <v>-398</v>
      </c>
      <c r="L36" s="101">
        <f t="shared" si="3"/>
        <v>1817</v>
      </c>
      <c r="M36" s="102">
        <f>H36/H36</f>
        <v>1</v>
      </c>
      <c r="N36" s="101">
        <v>4169</v>
      </c>
      <c r="O36" s="101">
        <v>6549</v>
      </c>
      <c r="P36" s="101">
        <v>4797</v>
      </c>
      <c r="Q36" s="101">
        <v>4797</v>
      </c>
      <c r="R36" s="101">
        <v>4635</v>
      </c>
      <c r="S36" s="102">
        <f t="shared" si="4"/>
        <v>-3.3771106941838602E-2</v>
      </c>
      <c r="T36" s="102">
        <f t="shared" si="5"/>
        <v>0.11177740465339414</v>
      </c>
      <c r="U36" s="101">
        <f t="shared" si="6"/>
        <v>-162</v>
      </c>
      <c r="V36" s="101">
        <f t="shared" si="7"/>
        <v>466</v>
      </c>
      <c r="W36" s="102">
        <f>R36/R36</f>
        <v>1</v>
      </c>
    </row>
    <row r="37" spans="2:23" x14ac:dyDescent="0.25">
      <c r="B37" s="96" t="s">
        <v>63</v>
      </c>
      <c r="C37" s="97">
        <v>1559</v>
      </c>
      <c r="D37" s="97">
        <v>2544.9999999999995</v>
      </c>
      <c r="E37" s="97">
        <v>3640</v>
      </c>
      <c r="F37" s="97">
        <v>3915.0000000000005</v>
      </c>
      <c r="G37" s="97">
        <v>4241</v>
      </c>
      <c r="H37" s="97">
        <v>3843.0000000000005</v>
      </c>
      <c r="I37" s="98">
        <f t="shared" si="0"/>
        <v>-9.3845791087007635E-2</v>
      </c>
      <c r="J37" s="98">
        <f t="shared" si="1"/>
        <v>0.51001964636542274</v>
      </c>
      <c r="K37" s="97">
        <f t="shared" si="2"/>
        <v>-397.99999999999955</v>
      </c>
      <c r="L37" s="97">
        <f t="shared" si="3"/>
        <v>1298.0000000000009</v>
      </c>
      <c r="M37" s="98">
        <f>H37/H36</f>
        <v>0.81333333333333346</v>
      </c>
      <c r="N37" s="97">
        <v>3324.9999999999995</v>
      </c>
      <c r="O37" s="97">
        <v>3915.0000000000005</v>
      </c>
      <c r="P37" s="97">
        <v>3915.0000000000005</v>
      </c>
      <c r="Q37" s="97">
        <v>3915.0000000000005</v>
      </c>
      <c r="R37" s="97">
        <v>3752.9999999999995</v>
      </c>
      <c r="S37" s="98">
        <f t="shared" si="4"/>
        <v>-4.137931034482778E-2</v>
      </c>
      <c r="T37" s="98">
        <f t="shared" si="5"/>
        <v>0.12872180451127813</v>
      </c>
      <c r="U37" s="97">
        <f t="shared" si="6"/>
        <v>-162.00000000000091</v>
      </c>
      <c r="V37" s="97">
        <f t="shared" si="7"/>
        <v>428</v>
      </c>
      <c r="W37" s="98">
        <f>R37/R36</f>
        <v>0.8097087378640776</v>
      </c>
    </row>
    <row r="38" spans="2:23" x14ac:dyDescent="0.25">
      <c r="B38" s="96" t="s">
        <v>66</v>
      </c>
      <c r="C38" s="97">
        <v>573</v>
      </c>
      <c r="D38" s="97">
        <v>363</v>
      </c>
      <c r="E38" s="97">
        <v>1004</v>
      </c>
      <c r="F38" s="97">
        <v>875</v>
      </c>
      <c r="G38" s="97">
        <v>882</v>
      </c>
      <c r="H38" s="97">
        <v>882</v>
      </c>
      <c r="I38" s="98">
        <f t="shared" si="0"/>
        <v>0</v>
      </c>
      <c r="J38" s="98">
        <f t="shared" si="1"/>
        <v>1.4297520661157024</v>
      </c>
      <c r="K38" s="97">
        <f t="shared" si="2"/>
        <v>0</v>
      </c>
      <c r="L38" s="97">
        <f t="shared" si="3"/>
        <v>519</v>
      </c>
      <c r="M38" s="98">
        <f>H38/H36</f>
        <v>0.18666666666666668</v>
      </c>
      <c r="N38" s="97">
        <v>844</v>
      </c>
      <c r="O38" s="97">
        <v>2634</v>
      </c>
      <c r="P38" s="97">
        <v>882</v>
      </c>
      <c r="Q38" s="97">
        <v>882</v>
      </c>
      <c r="R38" s="97">
        <v>882</v>
      </c>
      <c r="S38" s="98">
        <f t="shared" si="4"/>
        <v>0</v>
      </c>
      <c r="T38" s="98">
        <f t="shared" si="5"/>
        <v>4.502369668246442E-2</v>
      </c>
      <c r="U38" s="97">
        <f t="shared" si="6"/>
        <v>0</v>
      </c>
      <c r="V38" s="97">
        <f t="shared" si="7"/>
        <v>38</v>
      </c>
      <c r="W38" s="98">
        <f>R38/R36</f>
        <v>0.19029126213592232</v>
      </c>
    </row>
    <row r="39" spans="2:23" x14ac:dyDescent="0.25">
      <c r="B39" s="93" t="s">
        <v>54</v>
      </c>
      <c r="C39" s="101">
        <v>1526</v>
      </c>
      <c r="D39" s="101">
        <v>2270</v>
      </c>
      <c r="E39" s="101">
        <v>2680</v>
      </c>
      <c r="F39" s="101">
        <v>2774</v>
      </c>
      <c r="G39" s="101">
        <v>2946</v>
      </c>
      <c r="H39" s="101">
        <v>2675.0000000000005</v>
      </c>
      <c r="I39" s="102">
        <f t="shared" si="0"/>
        <v>-9.1989137813984878E-2</v>
      </c>
      <c r="J39" s="102">
        <f t="shared" si="1"/>
        <v>0.17841409691629972</v>
      </c>
      <c r="K39" s="101">
        <f t="shared" si="2"/>
        <v>-270.99999999999955</v>
      </c>
      <c r="L39" s="101">
        <f t="shared" si="3"/>
        <v>405.00000000000045</v>
      </c>
      <c r="M39" s="95">
        <f>H39/H39</f>
        <v>1</v>
      </c>
      <c r="N39" s="101">
        <v>2492.9999999999995</v>
      </c>
      <c r="O39" s="101">
        <v>2832</v>
      </c>
      <c r="P39" s="101">
        <v>2758</v>
      </c>
      <c r="Q39" s="101">
        <v>2679.0000000000005</v>
      </c>
      <c r="R39" s="101">
        <v>2679.0000000000005</v>
      </c>
      <c r="S39" s="102">
        <f t="shared" si="4"/>
        <v>0</v>
      </c>
      <c r="T39" s="102">
        <f t="shared" si="5"/>
        <v>7.4608904933815001E-2</v>
      </c>
      <c r="U39" s="101">
        <f t="shared" si="6"/>
        <v>0</v>
      </c>
      <c r="V39" s="101">
        <f t="shared" si="7"/>
        <v>186.00000000000091</v>
      </c>
      <c r="W39" s="95">
        <f>R39/R39</f>
        <v>1</v>
      </c>
    </row>
    <row r="40" spans="2:23" x14ac:dyDescent="0.25">
      <c r="B40" s="96" t="s">
        <v>63</v>
      </c>
      <c r="C40" s="97">
        <v>1526</v>
      </c>
      <c r="D40" s="97">
        <v>2270</v>
      </c>
      <c r="E40" s="97">
        <v>2680</v>
      </c>
      <c r="F40" s="97">
        <v>2774</v>
      </c>
      <c r="G40" s="97">
        <v>2946</v>
      </c>
      <c r="H40" s="97">
        <v>2675.0000000000005</v>
      </c>
      <c r="I40" s="98">
        <f t="shared" si="0"/>
        <v>-9.1989137813984878E-2</v>
      </c>
      <c r="J40" s="98">
        <f t="shared" si="1"/>
        <v>0.17841409691629972</v>
      </c>
      <c r="K40" s="97">
        <f t="shared" si="2"/>
        <v>-270.99999999999955</v>
      </c>
      <c r="L40" s="97">
        <f t="shared" si="3"/>
        <v>405.00000000000045</v>
      </c>
      <c r="M40" s="98">
        <f>H40/H39</f>
        <v>1</v>
      </c>
      <c r="N40" s="97">
        <v>2492.9999999999995</v>
      </c>
      <c r="O40" s="97">
        <v>2832</v>
      </c>
      <c r="P40" s="97">
        <v>2758</v>
      </c>
      <c r="Q40" s="97">
        <v>2679.0000000000005</v>
      </c>
      <c r="R40" s="97">
        <v>2679.0000000000005</v>
      </c>
      <c r="S40" s="98">
        <f t="shared" si="4"/>
        <v>0</v>
      </c>
      <c r="T40" s="98">
        <f t="shared" si="5"/>
        <v>7.4608904933815001E-2</v>
      </c>
      <c r="U40" s="97">
        <f t="shared" si="6"/>
        <v>0</v>
      </c>
      <c r="V40" s="97">
        <f t="shared" si="7"/>
        <v>186.00000000000091</v>
      </c>
      <c r="W40" s="98">
        <f>R40/R39</f>
        <v>1</v>
      </c>
    </row>
    <row r="41" spans="2:23" x14ac:dyDescent="0.25">
      <c r="B41" s="99" t="s">
        <v>64</v>
      </c>
      <c r="C41" s="54">
        <v>846</v>
      </c>
      <c r="D41" s="54">
        <v>1514</v>
      </c>
      <c r="E41" s="54">
        <v>1660</v>
      </c>
      <c r="F41" s="54">
        <v>1674</v>
      </c>
      <c r="G41" s="54">
        <v>1852</v>
      </c>
      <c r="H41" s="54">
        <v>1836</v>
      </c>
      <c r="I41" s="100">
        <f t="shared" si="0"/>
        <v>-8.6393088552916275E-3</v>
      </c>
      <c r="J41" s="100">
        <f t="shared" si="1"/>
        <v>0.21268163804491413</v>
      </c>
      <c r="K41" s="54">
        <f t="shared" si="2"/>
        <v>-16</v>
      </c>
      <c r="L41" s="54">
        <f t="shared" si="3"/>
        <v>322</v>
      </c>
      <c r="M41" s="100">
        <f>H41/H39</f>
        <v>0.68635514018691579</v>
      </c>
      <c r="N41" s="54">
        <v>1666</v>
      </c>
      <c r="O41" s="54">
        <v>1674</v>
      </c>
      <c r="P41" s="54">
        <v>1674</v>
      </c>
      <c r="Q41" s="54">
        <v>1847</v>
      </c>
      <c r="R41" s="54">
        <v>1847</v>
      </c>
      <c r="S41" s="100">
        <f t="shared" si="4"/>
        <v>0</v>
      </c>
      <c r="T41" s="100">
        <f t="shared" si="5"/>
        <v>0.10864345738295311</v>
      </c>
      <c r="U41" s="54">
        <f t="shared" si="6"/>
        <v>0</v>
      </c>
      <c r="V41" s="54">
        <f t="shared" si="7"/>
        <v>181</v>
      </c>
      <c r="W41" s="100">
        <f>R41/R39</f>
        <v>0.68943635684957061</v>
      </c>
    </row>
    <row r="42" spans="2:23" x14ac:dyDescent="0.25">
      <c r="B42" s="99" t="s">
        <v>65</v>
      </c>
      <c r="C42" s="54">
        <v>680</v>
      </c>
      <c r="D42" s="54">
        <v>756</v>
      </c>
      <c r="E42" s="54">
        <v>1020</v>
      </c>
      <c r="F42" s="54">
        <v>1100</v>
      </c>
      <c r="G42" s="54">
        <v>1094</v>
      </c>
      <c r="H42" s="54">
        <v>839</v>
      </c>
      <c r="I42" s="100">
        <f t="shared" si="0"/>
        <v>-0.23308957952468012</v>
      </c>
      <c r="J42" s="100">
        <f t="shared" si="1"/>
        <v>0.10978835978835977</v>
      </c>
      <c r="K42" s="54">
        <f t="shared" si="2"/>
        <v>-255</v>
      </c>
      <c r="L42" s="54">
        <f t="shared" si="3"/>
        <v>83</v>
      </c>
      <c r="M42" s="100">
        <f>H42/H39</f>
        <v>0.31364485981308404</v>
      </c>
      <c r="N42" s="54">
        <v>827</v>
      </c>
      <c r="O42" s="54">
        <v>1158</v>
      </c>
      <c r="P42" s="54">
        <v>1084</v>
      </c>
      <c r="Q42" s="54">
        <v>832</v>
      </c>
      <c r="R42" s="54">
        <v>832</v>
      </c>
      <c r="S42" s="100">
        <f t="shared" si="4"/>
        <v>0</v>
      </c>
      <c r="T42" s="100">
        <f t="shared" si="5"/>
        <v>6.0459492140265692E-3</v>
      </c>
      <c r="U42" s="54">
        <f t="shared" si="6"/>
        <v>0</v>
      </c>
      <c r="V42" s="54">
        <f t="shared" si="7"/>
        <v>5</v>
      </c>
      <c r="W42" s="100">
        <f>R42/R39</f>
        <v>0.31056364315042922</v>
      </c>
    </row>
    <row r="43" spans="2:23" x14ac:dyDescent="0.25">
      <c r="B43" s="93" t="s">
        <v>55</v>
      </c>
      <c r="C43" s="101">
        <v>3786</v>
      </c>
      <c r="D43" s="101">
        <v>4393</v>
      </c>
      <c r="E43" s="101">
        <v>6689.9999999999991</v>
      </c>
      <c r="F43" s="101">
        <v>6356</v>
      </c>
      <c r="G43" s="101">
        <v>6825</v>
      </c>
      <c r="H43" s="101">
        <v>6497</v>
      </c>
      <c r="I43" s="102">
        <f t="shared" si="0"/>
        <v>-4.8058608058608066E-2</v>
      </c>
      <c r="J43" s="102">
        <f t="shared" si="1"/>
        <v>0.47894377418620526</v>
      </c>
      <c r="K43" s="101">
        <f t="shared" si="2"/>
        <v>-328</v>
      </c>
      <c r="L43" s="101">
        <f t="shared" si="3"/>
        <v>2104</v>
      </c>
      <c r="M43" s="95">
        <f>H43/H43</f>
        <v>1</v>
      </c>
      <c r="N43" s="101">
        <v>6412</v>
      </c>
      <c r="O43" s="101">
        <v>9735</v>
      </c>
      <c r="P43" s="101">
        <v>6415</v>
      </c>
      <c r="Q43" s="101">
        <v>6497</v>
      </c>
      <c r="R43" s="101">
        <v>6497</v>
      </c>
      <c r="S43" s="102">
        <f t="shared" si="4"/>
        <v>0</v>
      </c>
      <c r="T43" s="102">
        <f t="shared" si="5"/>
        <v>1.3256394260761084E-2</v>
      </c>
      <c r="U43" s="101">
        <f t="shared" si="6"/>
        <v>0</v>
      </c>
      <c r="V43" s="101">
        <f t="shared" si="7"/>
        <v>85</v>
      </c>
      <c r="W43" s="95">
        <f>R43/R43</f>
        <v>1</v>
      </c>
    </row>
    <row r="44" spans="2:23" x14ac:dyDescent="0.25">
      <c r="B44" s="96" t="s">
        <v>63</v>
      </c>
      <c r="C44" s="97">
        <v>2472</v>
      </c>
      <c r="D44" s="97">
        <v>2822</v>
      </c>
      <c r="E44" s="97">
        <v>4753</v>
      </c>
      <c r="F44" s="97">
        <v>4696</v>
      </c>
      <c r="G44" s="97">
        <v>5151</v>
      </c>
      <c r="H44" s="97">
        <v>4755</v>
      </c>
      <c r="I44" s="98">
        <f t="shared" si="0"/>
        <v>-7.687827606290043E-2</v>
      </c>
      <c r="J44" s="98">
        <f t="shared" si="1"/>
        <v>0.68497519489723602</v>
      </c>
      <c r="K44" s="97">
        <f t="shared" si="2"/>
        <v>-396</v>
      </c>
      <c r="L44" s="97">
        <f t="shared" si="3"/>
        <v>1933</v>
      </c>
      <c r="M44" s="98">
        <f>H44/H43</f>
        <v>0.73187625057718952</v>
      </c>
      <c r="N44" s="97">
        <v>4752</v>
      </c>
      <c r="O44" s="97">
        <v>4755</v>
      </c>
      <c r="P44" s="97">
        <v>4755</v>
      </c>
      <c r="Q44" s="97">
        <v>4755</v>
      </c>
      <c r="R44" s="97">
        <v>4755</v>
      </c>
      <c r="S44" s="98">
        <f t="shared" si="4"/>
        <v>0</v>
      </c>
      <c r="T44" s="98">
        <f t="shared" si="5"/>
        <v>6.3131313131314926E-4</v>
      </c>
      <c r="U44" s="97">
        <f t="shared" si="6"/>
        <v>0</v>
      </c>
      <c r="V44" s="97">
        <f t="shared" si="7"/>
        <v>3</v>
      </c>
      <c r="W44" s="98">
        <f>R44/R43</f>
        <v>0.73187625057718952</v>
      </c>
    </row>
    <row r="45" spans="2:23" x14ac:dyDescent="0.25">
      <c r="B45" s="99" t="s">
        <v>64</v>
      </c>
      <c r="C45" s="54">
        <v>0</v>
      </c>
      <c r="D45" s="54">
        <v>2173</v>
      </c>
      <c r="E45" s="54">
        <v>3692</v>
      </c>
      <c r="F45" s="54">
        <v>3635.0000000000005</v>
      </c>
      <c r="G45" s="54">
        <v>4002</v>
      </c>
      <c r="H45" s="54">
        <v>3694</v>
      </c>
      <c r="I45" s="100">
        <f t="shared" si="0"/>
        <v>-7.6961519240379861E-2</v>
      </c>
      <c r="J45" s="100">
        <f t="shared" si="1"/>
        <v>0.69995398067188219</v>
      </c>
      <c r="K45" s="54">
        <f t="shared" si="2"/>
        <v>-308</v>
      </c>
      <c r="L45" s="54">
        <f t="shared" si="3"/>
        <v>1521</v>
      </c>
      <c r="M45" s="100">
        <f>H45/H43</f>
        <v>0.56857010928120666</v>
      </c>
      <c r="N45" s="54">
        <v>3691.0000000000005</v>
      </c>
      <c r="O45" s="54">
        <v>3694</v>
      </c>
      <c r="P45" s="54">
        <v>3694</v>
      </c>
      <c r="Q45" s="54">
        <v>3694</v>
      </c>
      <c r="R45" s="54">
        <v>3694</v>
      </c>
      <c r="S45" s="100">
        <f t="shared" si="4"/>
        <v>0</v>
      </c>
      <c r="T45" s="100">
        <f t="shared" si="5"/>
        <v>8.127878623678253E-4</v>
      </c>
      <c r="U45" s="54">
        <f t="shared" si="6"/>
        <v>0</v>
      </c>
      <c r="V45" s="54">
        <f t="shared" si="7"/>
        <v>2.9999999999995453</v>
      </c>
      <c r="W45" s="100">
        <f>R45/R43</f>
        <v>0.56857010928120666</v>
      </c>
    </row>
    <row r="46" spans="2:23" x14ac:dyDescent="0.25">
      <c r="B46" s="99" t="s">
        <v>65</v>
      </c>
      <c r="C46" s="54">
        <v>0</v>
      </c>
      <c r="D46" s="54">
        <v>649</v>
      </c>
      <c r="E46" s="54">
        <v>1061</v>
      </c>
      <c r="F46" s="54">
        <v>1061</v>
      </c>
      <c r="G46" s="54">
        <v>1149</v>
      </c>
      <c r="H46" s="54">
        <v>1061</v>
      </c>
      <c r="I46" s="100">
        <f t="shared" si="0"/>
        <v>-7.6588337684943442E-2</v>
      </c>
      <c r="J46" s="100">
        <f t="shared" si="1"/>
        <v>0.6348228043143298</v>
      </c>
      <c r="K46" s="54">
        <f t="shared" si="2"/>
        <v>-88</v>
      </c>
      <c r="L46" s="54">
        <f t="shared" si="3"/>
        <v>412</v>
      </c>
      <c r="M46" s="100">
        <f>H46/H43</f>
        <v>0.16330614129598275</v>
      </c>
      <c r="N46" s="54">
        <v>1061</v>
      </c>
      <c r="O46" s="54">
        <v>1061</v>
      </c>
      <c r="P46" s="54">
        <v>1061</v>
      </c>
      <c r="Q46" s="54">
        <v>1061</v>
      </c>
      <c r="R46" s="54">
        <v>1061</v>
      </c>
      <c r="S46" s="100">
        <f t="shared" si="4"/>
        <v>0</v>
      </c>
      <c r="T46" s="100">
        <f t="shared" si="5"/>
        <v>0</v>
      </c>
      <c r="U46" s="54">
        <f t="shared" si="6"/>
        <v>0</v>
      </c>
      <c r="V46" s="54">
        <f t="shared" si="7"/>
        <v>0</v>
      </c>
      <c r="W46" s="100">
        <f>R46/R43</f>
        <v>0.16330614129598275</v>
      </c>
    </row>
    <row r="47" spans="2:23" x14ac:dyDescent="0.25">
      <c r="B47" s="96" t="s">
        <v>66</v>
      </c>
      <c r="C47" s="97">
        <v>1314</v>
      </c>
      <c r="D47" s="97">
        <v>1571</v>
      </c>
      <c r="E47" s="97">
        <v>1937</v>
      </c>
      <c r="F47" s="97">
        <v>1660</v>
      </c>
      <c r="G47" s="97">
        <v>1674</v>
      </c>
      <c r="H47" s="97">
        <v>1742</v>
      </c>
      <c r="I47" s="98">
        <f t="shared" si="0"/>
        <v>4.0621266427718128E-2</v>
      </c>
      <c r="J47" s="98">
        <f t="shared" si="1"/>
        <v>0.10884786760025467</v>
      </c>
      <c r="K47" s="97">
        <f t="shared" si="2"/>
        <v>68</v>
      </c>
      <c r="L47" s="97">
        <f t="shared" si="3"/>
        <v>171</v>
      </c>
      <c r="M47" s="98">
        <f>H47/H43</f>
        <v>0.26812374942281053</v>
      </c>
      <c r="N47" s="97">
        <v>1660</v>
      </c>
      <c r="O47" s="97">
        <v>4980</v>
      </c>
      <c r="P47" s="97">
        <v>1660</v>
      </c>
      <c r="Q47" s="97">
        <v>1742</v>
      </c>
      <c r="R47" s="97">
        <v>1742</v>
      </c>
      <c r="S47" s="98">
        <f t="shared" si="4"/>
        <v>0</v>
      </c>
      <c r="T47" s="98">
        <f t="shared" si="5"/>
        <v>4.9397590361445864E-2</v>
      </c>
      <c r="U47" s="97">
        <f t="shared" si="6"/>
        <v>0</v>
      </c>
      <c r="V47" s="97">
        <f t="shared" si="7"/>
        <v>82</v>
      </c>
      <c r="W47" s="98">
        <f>R47/R43</f>
        <v>0.26812374942281053</v>
      </c>
    </row>
    <row r="48" spans="2:23" x14ac:dyDescent="0.25">
      <c r="B48" s="93" t="s">
        <v>56</v>
      </c>
      <c r="C48" s="101">
        <v>2158</v>
      </c>
      <c r="D48" s="101">
        <v>2862</v>
      </c>
      <c r="E48" s="101">
        <v>3259.0000000000005</v>
      </c>
      <c r="F48" s="101">
        <v>3072</v>
      </c>
      <c r="G48" s="101">
        <v>3320</v>
      </c>
      <c r="H48" s="101">
        <v>3104.9999999999995</v>
      </c>
      <c r="I48" s="102">
        <f t="shared" si="0"/>
        <v>-6.4759036144578452E-2</v>
      </c>
      <c r="J48" s="102">
        <f t="shared" si="1"/>
        <v>8.4905660377358361E-2</v>
      </c>
      <c r="K48" s="101">
        <f t="shared" si="2"/>
        <v>-215.00000000000045</v>
      </c>
      <c r="L48" s="101">
        <f t="shared" si="3"/>
        <v>242.99999999999955</v>
      </c>
      <c r="M48" s="95">
        <f>H48/H48</f>
        <v>1</v>
      </c>
      <c r="N48" s="101">
        <v>3464.9999999999995</v>
      </c>
      <c r="O48" s="101">
        <v>3644.9999999999995</v>
      </c>
      <c r="P48" s="101">
        <v>3052</v>
      </c>
      <c r="Q48" s="101">
        <v>3112.9999999999995</v>
      </c>
      <c r="R48" s="101">
        <v>3112.9999999999995</v>
      </c>
      <c r="S48" s="102">
        <f t="shared" si="4"/>
        <v>0</v>
      </c>
      <c r="T48" s="102">
        <f t="shared" si="5"/>
        <v>-0.10158730158730156</v>
      </c>
      <c r="U48" s="101">
        <f t="shared" si="6"/>
        <v>0</v>
      </c>
      <c r="V48" s="101">
        <f t="shared" si="7"/>
        <v>-352</v>
      </c>
      <c r="W48" s="95">
        <f>R48/R48</f>
        <v>1</v>
      </c>
    </row>
    <row r="49" spans="2:23" x14ac:dyDescent="0.25">
      <c r="B49" s="96" t="s">
        <v>63</v>
      </c>
      <c r="C49" s="97">
        <v>2065</v>
      </c>
      <c r="D49" s="97">
        <v>2788.9999999999995</v>
      </c>
      <c r="E49" s="97">
        <v>3008</v>
      </c>
      <c r="F49" s="97">
        <v>2663.0000000000005</v>
      </c>
      <c r="G49" s="97">
        <v>2935.0000000000005</v>
      </c>
      <c r="H49" s="97">
        <v>2716.9999999999995</v>
      </c>
      <c r="I49" s="98">
        <f t="shared" si="0"/>
        <v>-7.4275979557070104E-2</v>
      </c>
      <c r="J49" s="98">
        <f t="shared" si="1"/>
        <v>-2.5815704553603491E-2</v>
      </c>
      <c r="K49" s="97">
        <f t="shared" si="2"/>
        <v>-218.00000000000091</v>
      </c>
      <c r="L49" s="97">
        <f t="shared" si="3"/>
        <v>-72</v>
      </c>
      <c r="M49" s="98">
        <f>H49/H48</f>
        <v>0.87504025764895332</v>
      </c>
      <c r="N49" s="97">
        <v>3260.9999999999995</v>
      </c>
      <c r="O49" s="97">
        <v>2876.9999999999995</v>
      </c>
      <c r="P49" s="97">
        <v>2692</v>
      </c>
      <c r="Q49" s="97">
        <v>2724.9999999999995</v>
      </c>
      <c r="R49" s="97">
        <v>2724.9999999999995</v>
      </c>
      <c r="S49" s="98">
        <f t="shared" si="4"/>
        <v>0</v>
      </c>
      <c r="T49" s="98">
        <f t="shared" si="5"/>
        <v>-0.16436675866298689</v>
      </c>
      <c r="U49" s="97">
        <f t="shared" si="6"/>
        <v>0</v>
      </c>
      <c r="V49" s="97">
        <f t="shared" si="7"/>
        <v>-536</v>
      </c>
      <c r="W49" s="98">
        <f>R49/R48</f>
        <v>0.87536138772887884</v>
      </c>
    </row>
    <row r="50" spans="2:23" x14ac:dyDescent="0.25">
      <c r="B50" s="99" t="s">
        <v>64</v>
      </c>
      <c r="C50" s="54">
        <v>1643</v>
      </c>
      <c r="D50" s="54">
        <v>2193</v>
      </c>
      <c r="E50" s="54">
        <v>2189</v>
      </c>
      <c r="F50" s="54">
        <v>2050</v>
      </c>
      <c r="G50" s="54">
        <v>2224</v>
      </c>
      <c r="H50" s="54">
        <v>2053</v>
      </c>
      <c r="I50" s="100">
        <f t="shared" si="0"/>
        <v>-7.6888489208633115E-2</v>
      </c>
      <c r="J50" s="100">
        <f t="shared" si="1"/>
        <v>-6.3839489284085782E-2</v>
      </c>
      <c r="K50" s="54">
        <f t="shared" si="2"/>
        <v>-171</v>
      </c>
      <c r="L50" s="54">
        <f t="shared" si="3"/>
        <v>-140</v>
      </c>
      <c r="M50" s="100">
        <f>H50/H48</f>
        <v>0.66119162640901785</v>
      </c>
      <c r="N50" s="54">
        <v>2464.9999999999995</v>
      </c>
      <c r="O50" s="54">
        <v>2053</v>
      </c>
      <c r="P50" s="54">
        <v>2053</v>
      </c>
      <c r="Q50" s="54">
        <v>2053</v>
      </c>
      <c r="R50" s="54">
        <v>2053</v>
      </c>
      <c r="S50" s="100">
        <f t="shared" si="4"/>
        <v>0</v>
      </c>
      <c r="T50" s="100">
        <f t="shared" si="5"/>
        <v>-0.16713995943204851</v>
      </c>
      <c r="U50" s="54">
        <f t="shared" si="6"/>
        <v>0</v>
      </c>
      <c r="V50" s="54">
        <f t="shared" si="7"/>
        <v>-411.99999999999955</v>
      </c>
      <c r="W50" s="100">
        <f>R50/R48</f>
        <v>0.65949245101188569</v>
      </c>
    </row>
    <row r="51" spans="2:23" x14ac:dyDescent="0.25">
      <c r="B51" s="99" t="s">
        <v>65</v>
      </c>
      <c r="C51" s="54">
        <v>422</v>
      </c>
      <c r="D51" s="54">
        <v>596</v>
      </c>
      <c r="E51" s="54">
        <v>819</v>
      </c>
      <c r="F51" s="54">
        <v>613</v>
      </c>
      <c r="G51" s="54">
        <v>711</v>
      </c>
      <c r="H51" s="54">
        <v>664</v>
      </c>
      <c r="I51" s="100">
        <f t="shared" si="0"/>
        <v>-6.6104078762306617E-2</v>
      </c>
      <c r="J51" s="100">
        <f t="shared" si="1"/>
        <v>0.11409395973154357</v>
      </c>
      <c r="K51" s="54">
        <f t="shared" si="2"/>
        <v>-47</v>
      </c>
      <c r="L51" s="54">
        <f t="shared" si="3"/>
        <v>68</v>
      </c>
      <c r="M51" s="100">
        <f>H51/H48</f>
        <v>0.21384863123993561</v>
      </c>
      <c r="N51" s="54">
        <v>796</v>
      </c>
      <c r="O51" s="54">
        <v>824</v>
      </c>
      <c r="P51" s="54">
        <v>639</v>
      </c>
      <c r="Q51" s="54">
        <v>672</v>
      </c>
      <c r="R51" s="54">
        <v>672</v>
      </c>
      <c r="S51" s="100">
        <f t="shared" si="4"/>
        <v>0</v>
      </c>
      <c r="T51" s="100">
        <f t="shared" si="5"/>
        <v>-0.15577889447236182</v>
      </c>
      <c r="U51" s="54">
        <f t="shared" si="6"/>
        <v>0</v>
      </c>
      <c r="V51" s="54">
        <f t="shared" si="7"/>
        <v>-124</v>
      </c>
      <c r="W51" s="100">
        <f>R51/R48</f>
        <v>0.21586893671699328</v>
      </c>
    </row>
    <row r="52" spans="2:23" x14ac:dyDescent="0.25">
      <c r="B52" s="96" t="s">
        <v>66</v>
      </c>
      <c r="C52" s="97">
        <v>460</v>
      </c>
      <c r="D52" s="97">
        <v>774</v>
      </c>
      <c r="E52" s="97">
        <v>1068</v>
      </c>
      <c r="F52" s="97">
        <v>1110</v>
      </c>
      <c r="G52" s="97">
        <v>1086</v>
      </c>
      <c r="H52" s="97">
        <v>1088</v>
      </c>
      <c r="I52" s="98">
        <f t="shared" si="0"/>
        <v>1.8416206261511192E-3</v>
      </c>
      <c r="J52" s="98">
        <f t="shared" si="1"/>
        <v>0.40568475452196373</v>
      </c>
      <c r="K52" s="97">
        <f t="shared" si="2"/>
        <v>2</v>
      </c>
      <c r="L52" s="97">
        <f t="shared" si="3"/>
        <v>314</v>
      </c>
      <c r="M52" s="98">
        <f>H52/H48</f>
        <v>0.35040257648953305</v>
      </c>
      <c r="N52" s="97">
        <v>904</v>
      </c>
      <c r="O52" s="97">
        <v>2868</v>
      </c>
      <c r="P52" s="97">
        <v>1060</v>
      </c>
      <c r="Q52" s="97">
        <v>1088</v>
      </c>
      <c r="R52" s="97">
        <v>1088</v>
      </c>
      <c r="S52" s="98">
        <f t="shared" si="4"/>
        <v>0</v>
      </c>
      <c r="T52" s="98">
        <f t="shared" si="5"/>
        <v>0.20353982300884965</v>
      </c>
      <c r="U52" s="97">
        <f t="shared" si="6"/>
        <v>0</v>
      </c>
      <c r="V52" s="97">
        <f t="shared" si="7"/>
        <v>184</v>
      </c>
      <c r="W52" s="98">
        <f>R52/R48</f>
        <v>0.34950208801798915</v>
      </c>
    </row>
    <row r="53" spans="2:23" ht="6.9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6"/>
      <c r="K53" s="104"/>
      <c r="L53" s="106"/>
      <c r="M53" s="106"/>
      <c r="N53" s="104"/>
      <c r="O53" s="104"/>
      <c r="P53" s="104"/>
      <c r="Q53" s="104"/>
      <c r="R53" s="106"/>
      <c r="S53" s="106"/>
      <c r="T53" s="106"/>
      <c r="U53" s="106"/>
      <c r="V53" s="106"/>
    </row>
    <row r="54" spans="2:23" ht="15" customHeight="1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</row>
  </sheetData>
  <mergeCells count="2">
    <mergeCell ref="C5:H5"/>
    <mergeCell ref="N5:R5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10A4-1BFC-4755-85E4-B946FB79D3D5}">
  <sheetPr>
    <tabColor theme="4" tint="0.39997558519241921"/>
  </sheetPr>
  <dimension ref="A4:E25"/>
  <sheetViews>
    <sheetView showGridLines="0" zoomScaleNormal="100" workbookViewId="0">
      <selection activeCell="H9" sqref="H9"/>
    </sheetView>
  </sheetViews>
  <sheetFormatPr baseColWidth="10" defaultColWidth="11.42578125" defaultRowHeight="15" x14ac:dyDescent="0.25"/>
  <cols>
    <col min="1" max="2" width="15.28515625" customWidth="1"/>
    <col min="3" max="3" width="30.140625" customWidth="1"/>
    <col min="4" max="4" width="21.85546875" customWidth="1"/>
  </cols>
  <sheetData>
    <row r="4" spans="1:5" ht="63" customHeight="1" thickBot="1" x14ac:dyDescent="0.3">
      <c r="B4" s="283" t="s">
        <v>327</v>
      </c>
      <c r="C4" s="283"/>
      <c r="D4" s="283"/>
      <c r="E4" s="1" t="s">
        <v>69</v>
      </c>
    </row>
    <row r="5" spans="1:5" ht="10.5" customHeight="1" thickBot="1" x14ac:dyDescent="0.3">
      <c r="B5" s="108"/>
      <c r="C5" s="109"/>
      <c r="D5" s="108"/>
      <c r="E5" s="1" t="s">
        <v>70</v>
      </c>
    </row>
    <row r="6" spans="1:5" ht="22.5" thickTop="1" thickBot="1" x14ac:dyDescent="0.3">
      <c r="B6" s="110" t="s">
        <v>33</v>
      </c>
      <c r="C6" s="305" t="s">
        <v>214</v>
      </c>
      <c r="D6" s="306"/>
    </row>
    <row r="7" spans="1:5" ht="16.5" thickTop="1" thickBot="1" x14ac:dyDescent="0.3">
      <c r="B7" s="87"/>
      <c r="C7" s="116" t="s">
        <v>141</v>
      </c>
      <c r="D7" s="117" t="s">
        <v>142</v>
      </c>
    </row>
    <row r="8" spans="1:5" x14ac:dyDescent="0.25">
      <c r="A8" s="1" t="s">
        <v>73</v>
      </c>
      <c r="B8" s="119">
        <v>2024</v>
      </c>
      <c r="C8" s="120">
        <v>50222</v>
      </c>
      <c r="D8" s="121">
        <f t="shared" ref="D8:D21" si="0">C8/C9-1</f>
        <v>-4.5390610150161548E-2</v>
      </c>
    </row>
    <row r="9" spans="1:5" x14ac:dyDescent="0.25">
      <c r="A9" s="1"/>
      <c r="B9" s="119">
        <v>2023</v>
      </c>
      <c r="C9" s="120">
        <v>52610</v>
      </c>
      <c r="D9" s="121">
        <f t="shared" si="0"/>
        <v>9.3899446916455354E-2</v>
      </c>
    </row>
    <row r="10" spans="1:5" x14ac:dyDescent="0.25">
      <c r="A10" s="1"/>
      <c r="B10" s="119">
        <v>2022</v>
      </c>
      <c r="C10" s="120">
        <v>48094</v>
      </c>
      <c r="D10" s="121">
        <f t="shared" si="0"/>
        <v>0.10606687824847061</v>
      </c>
    </row>
    <row r="11" spans="1:5" x14ac:dyDescent="0.25">
      <c r="A11" s="1"/>
      <c r="B11" s="119">
        <v>2021</v>
      </c>
      <c r="C11" s="120">
        <v>43482</v>
      </c>
      <c r="D11" s="121">
        <f t="shared" si="0"/>
        <v>0.74542389210019278</v>
      </c>
    </row>
    <row r="12" spans="1:5" x14ac:dyDescent="0.25">
      <c r="A12" s="1" t="s">
        <v>75</v>
      </c>
      <c r="B12" s="119">
        <v>2020</v>
      </c>
      <c r="C12" s="120">
        <v>24912</v>
      </c>
      <c r="D12" s="121">
        <f t="shared" si="0"/>
        <v>-0.51465087281795507</v>
      </c>
    </row>
    <row r="13" spans="1:5" x14ac:dyDescent="0.25">
      <c r="A13" s="1" t="s">
        <v>77</v>
      </c>
      <c r="B13" s="119">
        <v>2019</v>
      </c>
      <c r="C13" s="120">
        <v>51328</v>
      </c>
      <c r="D13" s="121">
        <f t="shared" si="0"/>
        <v>0.21153755369872074</v>
      </c>
    </row>
    <row r="14" spans="1:5" x14ac:dyDescent="0.25">
      <c r="A14" s="1" t="s">
        <v>79</v>
      </c>
      <c r="B14" s="119">
        <v>2018</v>
      </c>
      <c r="C14" s="120">
        <v>42366</v>
      </c>
      <c r="D14" s="121">
        <f t="shared" si="0"/>
        <v>-2.9260133354718998E-2</v>
      </c>
    </row>
    <row r="15" spans="1:5" x14ac:dyDescent="0.25">
      <c r="A15" s="1" t="s">
        <v>81</v>
      </c>
      <c r="B15" s="119">
        <v>2017</v>
      </c>
      <c r="C15" s="120">
        <v>43643</v>
      </c>
      <c r="D15" s="121">
        <f>C15/C16-1</f>
        <v>-1.5319705789449967E-2</v>
      </c>
    </row>
    <row r="16" spans="1:5" x14ac:dyDescent="0.25">
      <c r="A16" s="1" t="s">
        <v>83</v>
      </c>
      <c r="B16" s="119">
        <v>2016</v>
      </c>
      <c r="C16" s="120">
        <v>44322</v>
      </c>
      <c r="D16" s="121">
        <f>C16/C17-1</f>
        <v>-7.8276421411637487E-2</v>
      </c>
    </row>
    <row r="17" spans="1:4" x14ac:dyDescent="0.25">
      <c r="A17" s="1" t="s">
        <v>85</v>
      </c>
      <c r="B17" s="119">
        <v>2015</v>
      </c>
      <c r="C17" s="120">
        <v>48086</v>
      </c>
      <c r="D17" s="121">
        <f t="shared" si="0"/>
        <v>2.866555427202333E-2</v>
      </c>
    </row>
    <row r="18" spans="1:4" x14ac:dyDescent="0.25">
      <c r="A18" s="1" t="s">
        <v>87</v>
      </c>
      <c r="B18" s="119">
        <v>2014</v>
      </c>
      <c r="C18" s="120">
        <v>46746</v>
      </c>
      <c r="D18" s="121">
        <f t="shared" si="0"/>
        <v>7.1811803549318931E-2</v>
      </c>
    </row>
    <row r="19" spans="1:4" x14ac:dyDescent="0.25">
      <c r="A19" s="1" t="s">
        <v>89</v>
      </c>
      <c r="B19" s="119">
        <v>2013</v>
      </c>
      <c r="C19" s="120">
        <v>43614</v>
      </c>
      <c r="D19" s="121">
        <f t="shared" si="0"/>
        <v>0.18496984187360765</v>
      </c>
    </row>
    <row r="20" spans="1:4" x14ac:dyDescent="0.25">
      <c r="A20" s="1" t="s">
        <v>91</v>
      </c>
      <c r="B20" s="119">
        <v>2012</v>
      </c>
      <c r="C20" s="120">
        <v>36806</v>
      </c>
      <c r="D20" s="121">
        <f>C20/C21-1</f>
        <v>-0.35742593271530576</v>
      </c>
    </row>
    <row r="21" spans="1:4" x14ac:dyDescent="0.25">
      <c r="A21" s="1" t="s">
        <v>93</v>
      </c>
      <c r="B21" s="119">
        <v>2011</v>
      </c>
      <c r="C21" s="120">
        <v>57279</v>
      </c>
      <c r="D21" s="121">
        <f t="shared" si="0"/>
        <v>-0.25730326880437737</v>
      </c>
    </row>
    <row r="22" spans="1:4" x14ac:dyDescent="0.25">
      <c r="A22" s="1" t="s">
        <v>95</v>
      </c>
      <c r="B22" s="119">
        <v>2010</v>
      </c>
      <c r="C22" s="120">
        <v>77123</v>
      </c>
      <c r="D22" s="121"/>
    </row>
    <row r="23" spans="1:4" ht="6" customHeight="1" x14ac:dyDescent="0.25"/>
    <row r="24" spans="1:4" x14ac:dyDescent="0.25">
      <c r="B24" s="107" t="s">
        <v>58</v>
      </c>
      <c r="C24" s="107"/>
      <c r="D24" s="107"/>
    </row>
    <row r="25" spans="1:4" x14ac:dyDescent="0.25">
      <c r="B25" t="s">
        <v>12</v>
      </c>
    </row>
  </sheetData>
  <mergeCells count="2">
    <mergeCell ref="B4:D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8E01-578B-481C-AF88-1C8620BB5599}">
  <sheetPr>
    <tabColor rgb="FF92D050"/>
  </sheetPr>
  <dimension ref="B1:S54"/>
  <sheetViews>
    <sheetView showGridLines="0" zoomScaleNormal="100" workbookViewId="0">
      <selection activeCell="H9" sqref="H9"/>
    </sheetView>
  </sheetViews>
  <sheetFormatPr baseColWidth="10" defaultRowHeight="15" x14ac:dyDescent="0.25"/>
  <cols>
    <col min="1" max="1" width="15.5703125" customWidth="1"/>
    <col min="2" max="2" width="25.7109375" customWidth="1"/>
    <col min="3" max="8" width="9.85546875" customWidth="1"/>
    <col min="9" max="9" width="10.7109375" customWidth="1"/>
    <col min="10" max="10" width="9.28515625" customWidth="1"/>
    <col min="11" max="11" width="12.28515625" customWidth="1"/>
    <col min="12" max="16" width="11.5703125" customWidth="1"/>
    <col min="17" max="17" width="10.7109375" customWidth="1"/>
    <col min="18" max="18" width="9.85546875" customWidth="1"/>
    <col min="20" max="20" width="14.42578125" customWidth="1"/>
    <col min="21" max="22" width="7.85546875" customWidth="1"/>
    <col min="23" max="23" width="8.140625" customWidth="1"/>
    <col min="24" max="24" width="9" customWidth="1"/>
    <col min="25" max="26" width="9.42578125" customWidth="1"/>
  </cols>
  <sheetData>
    <row r="1" spans="2:19" ht="42.75" customHeight="1" x14ac:dyDescent="0.25"/>
    <row r="3" spans="2:19" ht="30.75" customHeight="1" thickBot="1" x14ac:dyDescent="0.3">
      <c r="B3" s="84" t="str">
        <f>CONCATENATE("Establecimientos alojativos en funcionamiento en Tenerife y municipios")</f>
        <v>Establecimientos alojativos en funcionamiento en Tenerife y municipios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2:19" ht="6.95" customHeight="1" x14ac:dyDescent="0.25">
      <c r="B4" s="85"/>
      <c r="C4" s="85"/>
      <c r="D4" s="85"/>
      <c r="E4" s="85"/>
      <c r="F4" s="85"/>
      <c r="G4" s="85"/>
      <c r="H4" s="85"/>
      <c r="I4" s="86"/>
      <c r="J4" s="85"/>
      <c r="K4" s="85"/>
      <c r="L4" s="85"/>
      <c r="M4" s="85"/>
      <c r="N4" s="85"/>
      <c r="O4" s="85"/>
      <c r="P4" s="86"/>
      <c r="Q4" s="86"/>
      <c r="R4" s="86"/>
      <c r="S4" s="86"/>
    </row>
    <row r="5" spans="2:19" ht="15.75" thickBot="1" x14ac:dyDescent="0.3">
      <c r="B5" s="87"/>
      <c r="C5" s="303" t="s">
        <v>67</v>
      </c>
      <c r="D5" s="303"/>
      <c r="E5" s="303"/>
      <c r="F5" s="303"/>
      <c r="G5" s="303"/>
      <c r="H5" s="303"/>
      <c r="I5" s="88"/>
      <c r="J5" s="88"/>
      <c r="K5" s="89"/>
      <c r="L5" s="304" t="s">
        <v>68</v>
      </c>
      <c r="M5" s="304"/>
      <c r="N5" s="304"/>
      <c r="O5" s="304"/>
      <c r="P5" s="304"/>
      <c r="Q5" s="88"/>
      <c r="R5" s="88"/>
      <c r="S5" s="89"/>
    </row>
    <row r="6" spans="2:19" ht="59.25" customHeight="1" x14ac:dyDescent="0.25">
      <c r="B6" s="90"/>
      <c r="C6" s="14">
        <v>2020</v>
      </c>
      <c r="D6" s="14">
        <v>2021</v>
      </c>
      <c r="E6" s="14">
        <v>2022</v>
      </c>
      <c r="F6" s="14">
        <v>2023</v>
      </c>
      <c r="G6" s="14">
        <v>2024</v>
      </c>
      <c r="H6" s="14">
        <v>2025</v>
      </c>
      <c r="I6" s="91" t="str">
        <f>CONCATENATE("var. ",RIGHT(H6,2),"/",RIGHT(G6,2))</f>
        <v>var. 25/24</v>
      </c>
      <c r="J6" s="91" t="str">
        <f>CONCATENATE("dif. ",RIGHT(H6,2),"/",RIGHT(G6,2))</f>
        <v>dif. 25/24</v>
      </c>
      <c r="K6" s="14" t="str">
        <f>CONCATENATE("cuota/ total isla ",RIGHT(H6,2))</f>
        <v>cuota/ total isla 25</v>
      </c>
      <c r="L6" s="92" t="s">
        <v>231</v>
      </c>
      <c r="M6" s="92" t="s">
        <v>232</v>
      </c>
      <c r="N6" s="92" t="s">
        <v>233</v>
      </c>
      <c r="O6" s="92" t="s">
        <v>234</v>
      </c>
      <c r="P6" s="92" t="s">
        <v>235</v>
      </c>
      <c r="Q6" s="91" t="str">
        <f>CONCATENATE("var. ",RIGHT(P6,2),"/",RIGHT(O6,2))</f>
        <v>var. 25/24</v>
      </c>
      <c r="R6" s="91" t="str">
        <f>CONCATENATE("dif. ",RIGHT(P6,2),"/",RIGHT(O6,2))</f>
        <v>dif. 25/24</v>
      </c>
      <c r="S6" s="89" t="str">
        <f>CONCATENATE("cuota/ total isla ",RIGHT(P6,2))</f>
        <v>cuota/ total isla 25</v>
      </c>
    </row>
    <row r="7" spans="2:19" x14ac:dyDescent="0.25">
      <c r="B7" s="93" t="s">
        <v>46</v>
      </c>
      <c r="C7" s="94">
        <v>173</v>
      </c>
      <c r="D7" s="94">
        <v>195</v>
      </c>
      <c r="E7" s="94">
        <v>312</v>
      </c>
      <c r="F7" s="94">
        <v>308</v>
      </c>
      <c r="G7" s="94">
        <v>339</v>
      </c>
      <c r="H7" s="94">
        <v>324</v>
      </c>
      <c r="I7" s="95">
        <f>IFERROR(H7/G7-1,"-")</f>
        <v>-4.4247787610619427E-2</v>
      </c>
      <c r="J7" s="94">
        <f>IFERROR(H7-G7,"-")</f>
        <v>-15</v>
      </c>
      <c r="K7" s="95">
        <f>H7/H7</f>
        <v>1</v>
      </c>
      <c r="L7" s="94">
        <v>276</v>
      </c>
      <c r="M7" s="94">
        <v>527</v>
      </c>
      <c r="N7" s="94">
        <v>316</v>
      </c>
      <c r="O7" s="94">
        <v>325</v>
      </c>
      <c r="P7" s="94">
        <v>329</v>
      </c>
      <c r="Q7" s="95">
        <f t="shared" ref="Q7:Q52" si="0">IFERROR(P7/O7-1,"-")</f>
        <v>1.2307692307692353E-2</v>
      </c>
      <c r="R7" s="94">
        <f t="shared" ref="R7:R52" si="1">IFERROR(P7-O7,"-")</f>
        <v>4</v>
      </c>
      <c r="S7" s="95">
        <f>P7/P7</f>
        <v>1</v>
      </c>
    </row>
    <row r="8" spans="2:19" x14ac:dyDescent="0.25">
      <c r="B8" s="96" t="s">
        <v>63</v>
      </c>
      <c r="C8" s="97">
        <v>104</v>
      </c>
      <c r="D8" s="97">
        <v>124</v>
      </c>
      <c r="E8" s="97">
        <v>194</v>
      </c>
      <c r="F8" s="97">
        <v>199</v>
      </c>
      <c r="G8" s="97">
        <v>228</v>
      </c>
      <c r="H8" s="97">
        <v>211</v>
      </c>
      <c r="I8" s="98">
        <f t="shared" ref="I8:I52" si="2">IFERROR(H8/G8-1,"-")</f>
        <v>-7.456140350877194E-2</v>
      </c>
      <c r="J8" s="97">
        <f t="shared" ref="J8:J52" si="3">IFERROR(H8-G8,"-")</f>
        <v>-17</v>
      </c>
      <c r="K8" s="98">
        <f>H8/H7</f>
        <v>0.65123456790123457</v>
      </c>
      <c r="L8" s="97">
        <v>182</v>
      </c>
      <c r="M8" s="97">
        <v>201</v>
      </c>
      <c r="N8" s="97">
        <v>206</v>
      </c>
      <c r="O8" s="97">
        <v>213</v>
      </c>
      <c r="P8" s="97">
        <v>216</v>
      </c>
      <c r="Q8" s="98">
        <f t="shared" si="0"/>
        <v>1.4084507042253502E-2</v>
      </c>
      <c r="R8" s="97">
        <f t="shared" si="1"/>
        <v>3</v>
      </c>
      <c r="S8" s="98">
        <f>P8/P7</f>
        <v>0.65653495440729481</v>
      </c>
    </row>
    <row r="9" spans="2:19" x14ac:dyDescent="0.25">
      <c r="B9" s="99" t="s">
        <v>64</v>
      </c>
      <c r="C9" s="54">
        <v>63</v>
      </c>
      <c r="D9" s="54">
        <v>84</v>
      </c>
      <c r="E9" s="54">
        <v>128</v>
      </c>
      <c r="F9" s="54">
        <v>131</v>
      </c>
      <c r="G9" s="54">
        <v>147</v>
      </c>
      <c r="H9" s="54">
        <v>137</v>
      </c>
      <c r="I9" s="100">
        <f t="shared" si="2"/>
        <v>-6.8027210884353706E-2</v>
      </c>
      <c r="J9" s="54">
        <f t="shared" si="3"/>
        <v>-10</v>
      </c>
      <c r="K9" s="100">
        <f>H9/H7</f>
        <v>0.4228395061728395</v>
      </c>
      <c r="L9" s="54">
        <v>125</v>
      </c>
      <c r="M9" s="54">
        <v>131</v>
      </c>
      <c r="N9" s="54">
        <v>134</v>
      </c>
      <c r="O9" s="54">
        <v>138</v>
      </c>
      <c r="P9" s="54">
        <v>140</v>
      </c>
      <c r="Q9" s="100">
        <f t="shared" si="0"/>
        <v>1.449275362318847E-2</v>
      </c>
      <c r="R9" s="54">
        <f t="shared" si="1"/>
        <v>2</v>
      </c>
      <c r="S9" s="100">
        <f>P9/P7</f>
        <v>0.42553191489361702</v>
      </c>
    </row>
    <row r="10" spans="2:19" x14ac:dyDescent="0.25">
      <c r="B10" s="99" t="s">
        <v>65</v>
      </c>
      <c r="C10" s="54">
        <v>41</v>
      </c>
      <c r="D10" s="54">
        <v>40</v>
      </c>
      <c r="E10" s="54">
        <v>65</v>
      </c>
      <c r="F10" s="54">
        <v>68</v>
      </c>
      <c r="G10" s="54">
        <v>81</v>
      </c>
      <c r="H10" s="54">
        <v>75</v>
      </c>
      <c r="I10" s="100">
        <f t="shared" si="2"/>
        <v>-7.407407407407407E-2</v>
      </c>
      <c r="J10" s="54">
        <f t="shared" si="3"/>
        <v>-6</v>
      </c>
      <c r="K10" s="100">
        <f>H10/H7</f>
        <v>0.23148148148148148</v>
      </c>
      <c r="L10" s="54">
        <v>57</v>
      </c>
      <c r="M10" s="54">
        <v>70</v>
      </c>
      <c r="N10" s="54">
        <v>72</v>
      </c>
      <c r="O10" s="54">
        <v>75</v>
      </c>
      <c r="P10" s="54">
        <v>76</v>
      </c>
      <c r="Q10" s="100">
        <f t="shared" si="0"/>
        <v>1.3333333333333419E-2</v>
      </c>
      <c r="R10" s="54">
        <f t="shared" si="1"/>
        <v>1</v>
      </c>
      <c r="S10" s="100">
        <f>P10/P7</f>
        <v>0.23100303951367782</v>
      </c>
    </row>
    <row r="11" spans="2:19" x14ac:dyDescent="0.25">
      <c r="B11" s="96" t="s">
        <v>66</v>
      </c>
      <c r="C11" s="97">
        <v>70</v>
      </c>
      <c r="D11" s="97">
        <v>71</v>
      </c>
      <c r="E11" s="97">
        <v>118</v>
      </c>
      <c r="F11" s="97">
        <v>109</v>
      </c>
      <c r="G11" s="97">
        <v>111</v>
      </c>
      <c r="H11" s="97">
        <v>113</v>
      </c>
      <c r="I11" s="98">
        <f t="shared" si="2"/>
        <v>1.8018018018018056E-2</v>
      </c>
      <c r="J11" s="97">
        <f t="shared" si="3"/>
        <v>2</v>
      </c>
      <c r="K11" s="98">
        <f>H11/H7</f>
        <v>0.34876543209876543</v>
      </c>
      <c r="L11" s="97">
        <v>94</v>
      </c>
      <c r="M11" s="97">
        <v>326</v>
      </c>
      <c r="N11" s="97">
        <v>110</v>
      </c>
      <c r="O11" s="97">
        <v>112</v>
      </c>
      <c r="P11" s="97">
        <v>113</v>
      </c>
      <c r="Q11" s="98">
        <f t="shared" si="0"/>
        <v>8.9285714285713969E-3</v>
      </c>
      <c r="R11" s="97">
        <f t="shared" si="1"/>
        <v>1</v>
      </c>
      <c r="S11" s="98">
        <f>P11/P7</f>
        <v>0.34346504559270519</v>
      </c>
    </row>
    <row r="12" spans="2:19" x14ac:dyDescent="0.25">
      <c r="B12" s="93" t="s">
        <v>47</v>
      </c>
      <c r="C12" s="101">
        <v>49</v>
      </c>
      <c r="D12" s="101">
        <v>57</v>
      </c>
      <c r="E12" s="101">
        <v>89</v>
      </c>
      <c r="F12" s="101">
        <v>90</v>
      </c>
      <c r="G12" s="101">
        <v>99</v>
      </c>
      <c r="H12" s="101">
        <v>93</v>
      </c>
      <c r="I12" s="102">
        <f t="shared" si="2"/>
        <v>-6.0606060606060552E-2</v>
      </c>
      <c r="J12" s="101">
        <f t="shared" si="3"/>
        <v>-6</v>
      </c>
      <c r="K12" s="95">
        <f>H12/H12</f>
        <v>1</v>
      </c>
      <c r="L12" s="101">
        <v>79</v>
      </c>
      <c r="M12" s="101">
        <v>147</v>
      </c>
      <c r="N12" s="101">
        <v>92</v>
      </c>
      <c r="O12" s="101">
        <v>95</v>
      </c>
      <c r="P12" s="101">
        <v>96</v>
      </c>
      <c r="Q12" s="102">
        <f t="shared" si="0"/>
        <v>1.0526315789473717E-2</v>
      </c>
      <c r="R12" s="101">
        <f t="shared" si="1"/>
        <v>1</v>
      </c>
      <c r="S12" s="95">
        <f>P12/P12</f>
        <v>1</v>
      </c>
    </row>
    <row r="13" spans="2:19" ht="15" customHeight="1" x14ac:dyDescent="0.25">
      <c r="B13" s="96" t="s">
        <v>63</v>
      </c>
      <c r="C13" s="97">
        <v>31</v>
      </c>
      <c r="D13" s="97">
        <v>40</v>
      </c>
      <c r="E13" s="97">
        <v>60</v>
      </c>
      <c r="F13" s="97">
        <v>62</v>
      </c>
      <c r="G13" s="97">
        <v>68</v>
      </c>
      <c r="H13" s="97">
        <v>61</v>
      </c>
      <c r="I13" s="98">
        <f t="shared" si="2"/>
        <v>-0.1029411764705882</v>
      </c>
      <c r="J13" s="97">
        <f t="shared" si="3"/>
        <v>-7</v>
      </c>
      <c r="K13" s="98">
        <f>H13/H12</f>
        <v>0.65591397849462363</v>
      </c>
      <c r="L13" s="97">
        <v>58</v>
      </c>
      <c r="M13" s="97">
        <v>62</v>
      </c>
      <c r="N13" s="97">
        <v>63</v>
      </c>
      <c r="O13" s="97">
        <v>63</v>
      </c>
      <c r="P13" s="97">
        <v>64</v>
      </c>
      <c r="Q13" s="98">
        <f t="shared" si="0"/>
        <v>1.5873015873015817E-2</v>
      </c>
      <c r="R13" s="97">
        <f t="shared" si="1"/>
        <v>1</v>
      </c>
      <c r="S13" s="98">
        <f>P13/P12</f>
        <v>0.66666666666666663</v>
      </c>
    </row>
    <row r="14" spans="2:19" x14ac:dyDescent="0.25">
      <c r="B14" s="99" t="s">
        <v>64</v>
      </c>
      <c r="C14" s="54">
        <v>25</v>
      </c>
      <c r="D14" s="54">
        <v>33</v>
      </c>
      <c r="E14" s="54">
        <v>48</v>
      </c>
      <c r="F14" s="54">
        <v>50</v>
      </c>
      <c r="G14" s="54">
        <v>56</v>
      </c>
      <c r="H14" s="54">
        <v>50</v>
      </c>
      <c r="I14" s="100">
        <f t="shared" si="2"/>
        <v>-0.1071428571428571</v>
      </c>
      <c r="J14" s="54">
        <f t="shared" si="3"/>
        <v>-6</v>
      </c>
      <c r="K14" s="100">
        <f>H14/H12</f>
        <v>0.5376344086021505</v>
      </c>
      <c r="L14" s="54">
        <v>48</v>
      </c>
      <c r="M14" s="54">
        <v>49</v>
      </c>
      <c r="N14" s="54">
        <v>52</v>
      </c>
      <c r="O14" s="54">
        <v>52</v>
      </c>
      <c r="P14" s="54">
        <v>53</v>
      </c>
      <c r="Q14" s="100">
        <f t="shared" si="0"/>
        <v>1.9230769230769162E-2</v>
      </c>
      <c r="R14" s="54">
        <f t="shared" si="1"/>
        <v>1</v>
      </c>
      <c r="S14" s="100">
        <f>P14/P12</f>
        <v>0.55208333333333337</v>
      </c>
    </row>
    <row r="15" spans="2:19" x14ac:dyDescent="0.25">
      <c r="B15" s="99" t="s">
        <v>65</v>
      </c>
      <c r="C15" s="54">
        <v>6</v>
      </c>
      <c r="D15" s="54">
        <v>7</v>
      </c>
      <c r="E15" s="54">
        <v>12</v>
      </c>
      <c r="F15" s="54">
        <v>11</v>
      </c>
      <c r="G15" s="54">
        <v>12</v>
      </c>
      <c r="H15" s="54">
        <v>11</v>
      </c>
      <c r="I15" s="100">
        <f t="shared" si="2"/>
        <v>-8.333333333333337E-2</v>
      </c>
      <c r="J15" s="54">
        <f t="shared" si="3"/>
        <v>-1</v>
      </c>
      <c r="K15" s="100">
        <f>H15/H12</f>
        <v>0.11827956989247312</v>
      </c>
      <c r="L15" s="54">
        <v>10</v>
      </c>
      <c r="M15" s="54">
        <v>13</v>
      </c>
      <c r="N15" s="54">
        <v>11</v>
      </c>
      <c r="O15" s="54">
        <v>11</v>
      </c>
      <c r="P15" s="54">
        <v>11</v>
      </c>
      <c r="Q15" s="100">
        <f t="shared" si="0"/>
        <v>0</v>
      </c>
      <c r="R15" s="54">
        <f t="shared" si="1"/>
        <v>0</v>
      </c>
      <c r="S15" s="100">
        <f>P15/P12</f>
        <v>0.11458333333333333</v>
      </c>
    </row>
    <row r="16" spans="2:19" x14ac:dyDescent="0.25">
      <c r="B16" s="96" t="s">
        <v>66</v>
      </c>
      <c r="C16" s="97">
        <v>18</v>
      </c>
      <c r="D16" s="97">
        <v>17</v>
      </c>
      <c r="E16" s="97">
        <v>28</v>
      </c>
      <c r="F16" s="97">
        <v>29</v>
      </c>
      <c r="G16" s="97">
        <v>31</v>
      </c>
      <c r="H16" s="97">
        <v>32</v>
      </c>
      <c r="I16" s="98">
        <f t="shared" si="2"/>
        <v>3.2258064516129004E-2</v>
      </c>
      <c r="J16" s="97">
        <f t="shared" si="3"/>
        <v>1</v>
      </c>
      <c r="K16" s="98">
        <f>H16/H12</f>
        <v>0.34408602150537637</v>
      </c>
      <c r="L16" s="97">
        <v>21</v>
      </c>
      <c r="M16" s="97">
        <v>85</v>
      </c>
      <c r="N16" s="97">
        <v>29</v>
      </c>
      <c r="O16" s="97">
        <v>32</v>
      </c>
      <c r="P16" s="97">
        <v>32</v>
      </c>
      <c r="Q16" s="98">
        <f t="shared" si="0"/>
        <v>0</v>
      </c>
      <c r="R16" s="97">
        <f t="shared" si="1"/>
        <v>0</v>
      </c>
      <c r="S16" s="98">
        <f>P16/P12</f>
        <v>0.33333333333333331</v>
      </c>
    </row>
    <row r="17" spans="2:19" x14ac:dyDescent="0.25">
      <c r="B17" s="93" t="s">
        <v>48</v>
      </c>
      <c r="C17" s="101">
        <v>45</v>
      </c>
      <c r="D17" s="101">
        <v>48</v>
      </c>
      <c r="E17" s="101">
        <v>85</v>
      </c>
      <c r="F17" s="101">
        <v>79</v>
      </c>
      <c r="G17" s="101">
        <v>84</v>
      </c>
      <c r="H17" s="101">
        <v>80</v>
      </c>
      <c r="I17" s="102">
        <f t="shared" si="2"/>
        <v>-4.7619047619047672E-2</v>
      </c>
      <c r="J17" s="101">
        <f t="shared" si="3"/>
        <v>-4</v>
      </c>
      <c r="K17" s="95">
        <f>H17/H17</f>
        <v>1</v>
      </c>
      <c r="L17" s="101">
        <v>74</v>
      </c>
      <c r="M17" s="101">
        <v>170</v>
      </c>
      <c r="N17" s="101">
        <v>80</v>
      </c>
      <c r="O17" s="101">
        <v>81</v>
      </c>
      <c r="P17" s="101">
        <v>80</v>
      </c>
      <c r="Q17" s="102">
        <f t="shared" si="0"/>
        <v>-1.2345679012345734E-2</v>
      </c>
      <c r="R17" s="101">
        <f t="shared" si="1"/>
        <v>-1</v>
      </c>
      <c r="S17" s="95">
        <f>P17/P17</f>
        <v>1</v>
      </c>
    </row>
    <row r="18" spans="2:19" x14ac:dyDescent="0.25">
      <c r="B18" s="96" t="s">
        <v>63</v>
      </c>
      <c r="C18" s="97">
        <v>17</v>
      </c>
      <c r="D18" s="97">
        <v>18</v>
      </c>
      <c r="E18" s="97">
        <v>34</v>
      </c>
      <c r="F18" s="97">
        <v>35</v>
      </c>
      <c r="G18" s="97">
        <v>41</v>
      </c>
      <c r="H18" s="97">
        <v>37</v>
      </c>
      <c r="I18" s="98">
        <f t="shared" si="2"/>
        <v>-9.7560975609756073E-2</v>
      </c>
      <c r="J18" s="97">
        <f t="shared" si="3"/>
        <v>-4</v>
      </c>
      <c r="K18" s="98">
        <f>H18/H17</f>
        <v>0.46250000000000002</v>
      </c>
      <c r="L18" s="97">
        <v>32</v>
      </c>
      <c r="M18" s="97">
        <v>35</v>
      </c>
      <c r="N18" s="97">
        <v>35</v>
      </c>
      <c r="O18" s="97">
        <v>38</v>
      </c>
      <c r="P18" s="97">
        <v>37</v>
      </c>
      <c r="Q18" s="98">
        <f t="shared" si="0"/>
        <v>-2.6315789473684181E-2</v>
      </c>
      <c r="R18" s="97">
        <f t="shared" si="1"/>
        <v>-1</v>
      </c>
      <c r="S18" s="98">
        <f>P18/P17</f>
        <v>0.46250000000000002</v>
      </c>
    </row>
    <row r="19" spans="2:19" x14ac:dyDescent="0.25">
      <c r="B19" s="99" t="s">
        <v>64</v>
      </c>
      <c r="C19" s="54">
        <v>10</v>
      </c>
      <c r="D19" s="54">
        <v>11</v>
      </c>
      <c r="E19" s="54">
        <v>22</v>
      </c>
      <c r="F19" s="54">
        <v>23</v>
      </c>
      <c r="G19" s="54">
        <v>25</v>
      </c>
      <c r="H19" s="54">
        <v>24</v>
      </c>
      <c r="I19" s="100">
        <f t="shared" si="2"/>
        <v>-4.0000000000000036E-2</v>
      </c>
      <c r="J19" s="54">
        <f t="shared" si="3"/>
        <v>-1</v>
      </c>
      <c r="K19" s="100">
        <f>H19/H17</f>
        <v>0.3</v>
      </c>
      <c r="L19" s="54">
        <v>21</v>
      </c>
      <c r="M19" s="54">
        <v>23</v>
      </c>
      <c r="N19" s="54">
        <v>23</v>
      </c>
      <c r="O19" s="54">
        <v>24</v>
      </c>
      <c r="P19" s="54">
        <v>24</v>
      </c>
      <c r="Q19" s="100">
        <f t="shared" si="0"/>
        <v>0</v>
      </c>
      <c r="R19" s="54">
        <f t="shared" si="1"/>
        <v>0</v>
      </c>
      <c r="S19" s="100">
        <f>P19/P17</f>
        <v>0.3</v>
      </c>
    </row>
    <row r="20" spans="2:19" x14ac:dyDescent="0.25">
      <c r="B20" s="99" t="s">
        <v>65</v>
      </c>
      <c r="C20" s="54">
        <v>7</v>
      </c>
      <c r="D20" s="54">
        <v>7</v>
      </c>
      <c r="E20" s="54">
        <v>12</v>
      </c>
      <c r="F20" s="54">
        <v>12</v>
      </c>
      <c r="G20" s="54">
        <v>15</v>
      </c>
      <c r="H20" s="54">
        <v>13</v>
      </c>
      <c r="I20" s="100">
        <f t="shared" si="2"/>
        <v>-0.1333333333333333</v>
      </c>
      <c r="J20" s="54">
        <f t="shared" si="3"/>
        <v>-2</v>
      </c>
      <c r="K20" s="100">
        <f>H20/H17</f>
        <v>0.16250000000000001</v>
      </c>
      <c r="L20" s="54">
        <v>11</v>
      </c>
      <c r="M20" s="54">
        <v>12</v>
      </c>
      <c r="N20" s="54">
        <v>12</v>
      </c>
      <c r="O20" s="54">
        <v>14</v>
      </c>
      <c r="P20" s="54">
        <v>13</v>
      </c>
      <c r="Q20" s="100">
        <f t="shared" si="0"/>
        <v>-7.1428571428571397E-2</v>
      </c>
      <c r="R20" s="54">
        <f t="shared" si="1"/>
        <v>-1</v>
      </c>
      <c r="S20" s="100">
        <f>P20/P17</f>
        <v>0.16250000000000001</v>
      </c>
    </row>
    <row r="21" spans="2:19" x14ac:dyDescent="0.25">
      <c r="B21" s="96" t="s">
        <v>66</v>
      </c>
      <c r="C21" s="97">
        <v>28</v>
      </c>
      <c r="D21" s="97">
        <v>31</v>
      </c>
      <c r="E21" s="97">
        <v>51</v>
      </c>
      <c r="F21" s="97">
        <v>45</v>
      </c>
      <c r="G21" s="97">
        <v>43</v>
      </c>
      <c r="H21" s="97">
        <v>43</v>
      </c>
      <c r="I21" s="98">
        <f t="shared" si="2"/>
        <v>0</v>
      </c>
      <c r="J21" s="97">
        <f t="shared" si="3"/>
        <v>0</v>
      </c>
      <c r="K21" s="98">
        <f>H21/H17</f>
        <v>0.53749999999999998</v>
      </c>
      <c r="L21" s="97">
        <v>42</v>
      </c>
      <c r="M21" s="97">
        <v>135</v>
      </c>
      <c r="N21" s="97">
        <v>45</v>
      </c>
      <c r="O21" s="97">
        <v>43</v>
      </c>
      <c r="P21" s="97">
        <v>43</v>
      </c>
      <c r="Q21" s="98">
        <f t="shared" si="0"/>
        <v>0</v>
      </c>
      <c r="R21" s="97">
        <f t="shared" si="1"/>
        <v>0</v>
      </c>
      <c r="S21" s="98">
        <f>P21/P17</f>
        <v>0.53749999999999998</v>
      </c>
    </row>
    <row r="22" spans="2:19" x14ac:dyDescent="0.25">
      <c r="B22" s="93" t="s">
        <v>49</v>
      </c>
      <c r="C22" s="101">
        <v>4</v>
      </c>
      <c r="D22" s="101">
        <v>4</v>
      </c>
      <c r="E22" s="101">
        <v>6</v>
      </c>
      <c r="F22" s="101">
        <v>7</v>
      </c>
      <c r="G22" s="101">
        <v>8</v>
      </c>
      <c r="H22" s="101">
        <v>8</v>
      </c>
      <c r="I22" s="102">
        <f t="shared" si="2"/>
        <v>0</v>
      </c>
      <c r="J22" s="101">
        <f t="shared" si="3"/>
        <v>0</v>
      </c>
      <c r="K22" s="102">
        <f>H22/H22</f>
        <v>1</v>
      </c>
      <c r="L22" s="101">
        <v>4</v>
      </c>
      <c r="M22" s="101">
        <v>9</v>
      </c>
      <c r="N22" s="101">
        <v>7</v>
      </c>
      <c r="O22" s="101">
        <v>7</v>
      </c>
      <c r="P22" s="101">
        <v>8</v>
      </c>
      <c r="Q22" s="102">
        <f t="shared" si="0"/>
        <v>0.14285714285714279</v>
      </c>
      <c r="R22" s="101">
        <f t="shared" si="1"/>
        <v>1</v>
      </c>
      <c r="S22" s="102">
        <f>P22/P22</f>
        <v>1</v>
      </c>
    </row>
    <row r="23" spans="2:19" x14ac:dyDescent="0.25">
      <c r="B23" s="96" t="s">
        <v>63</v>
      </c>
      <c r="C23" s="97">
        <v>3</v>
      </c>
      <c r="D23" s="97">
        <v>4</v>
      </c>
      <c r="E23" s="97">
        <v>5</v>
      </c>
      <c r="F23" s="97">
        <v>6</v>
      </c>
      <c r="G23" s="97">
        <v>6</v>
      </c>
      <c r="H23" s="97">
        <v>6</v>
      </c>
      <c r="I23" s="98">
        <f t="shared" si="2"/>
        <v>0</v>
      </c>
      <c r="J23" s="97">
        <f t="shared" si="3"/>
        <v>0</v>
      </c>
      <c r="K23" s="98">
        <f>H23/H22</f>
        <v>0.75</v>
      </c>
      <c r="L23" s="97">
        <v>4</v>
      </c>
      <c r="M23" s="97">
        <v>6</v>
      </c>
      <c r="N23" s="97">
        <v>6</v>
      </c>
      <c r="O23" s="97">
        <v>6</v>
      </c>
      <c r="P23" s="97">
        <v>6</v>
      </c>
      <c r="Q23" s="98">
        <f t="shared" si="0"/>
        <v>0</v>
      </c>
      <c r="R23" s="97">
        <f t="shared" si="1"/>
        <v>0</v>
      </c>
      <c r="S23" s="98">
        <f>P23/P22</f>
        <v>0.75</v>
      </c>
    </row>
    <row r="24" spans="2:19" x14ac:dyDescent="0.25">
      <c r="B24" s="96" t="s">
        <v>66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8" t="str">
        <f t="shared" si="2"/>
        <v>-</v>
      </c>
      <c r="J24" s="97">
        <f t="shared" si="3"/>
        <v>0</v>
      </c>
      <c r="K24" s="98">
        <f>H24/H22</f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8" t="str">
        <f t="shared" si="0"/>
        <v>-</v>
      </c>
      <c r="R24" s="97">
        <f t="shared" si="1"/>
        <v>0</v>
      </c>
      <c r="S24" s="98">
        <f>P24/P22</f>
        <v>0</v>
      </c>
    </row>
    <row r="25" spans="2:19" x14ac:dyDescent="0.25">
      <c r="B25" s="93" t="s">
        <v>50</v>
      </c>
      <c r="C25" s="101">
        <v>3</v>
      </c>
      <c r="D25" s="101">
        <v>4</v>
      </c>
      <c r="E25" s="101">
        <v>5</v>
      </c>
      <c r="F25" s="101">
        <v>4</v>
      </c>
      <c r="G25" s="101">
        <v>6</v>
      </c>
      <c r="H25" s="101">
        <v>6</v>
      </c>
      <c r="I25" s="102">
        <f t="shared" si="2"/>
        <v>0</v>
      </c>
      <c r="J25" s="101">
        <f t="shared" si="3"/>
        <v>0</v>
      </c>
      <c r="K25" s="95">
        <f>H25/H25</f>
        <v>1</v>
      </c>
      <c r="L25" s="101">
        <v>5</v>
      </c>
      <c r="M25" s="101">
        <v>7</v>
      </c>
      <c r="N25" s="101">
        <v>5</v>
      </c>
      <c r="O25" s="101">
        <v>6</v>
      </c>
      <c r="P25" s="101">
        <v>6</v>
      </c>
      <c r="Q25" s="102">
        <f t="shared" si="0"/>
        <v>0</v>
      </c>
      <c r="R25" s="101">
        <f t="shared" si="1"/>
        <v>0</v>
      </c>
      <c r="S25" s="95">
        <f>P25/P25</f>
        <v>1</v>
      </c>
    </row>
    <row r="26" spans="2:19" x14ac:dyDescent="0.25">
      <c r="B26" s="96" t="s">
        <v>63</v>
      </c>
      <c r="C26" s="97">
        <v>2</v>
      </c>
      <c r="D26" s="97">
        <v>3</v>
      </c>
      <c r="E26" s="97">
        <v>4</v>
      </c>
      <c r="F26" s="97">
        <v>3</v>
      </c>
      <c r="G26" s="97">
        <v>5</v>
      </c>
      <c r="H26" s="97">
        <v>5</v>
      </c>
      <c r="I26" s="98">
        <f t="shared" si="2"/>
        <v>0</v>
      </c>
      <c r="J26" s="97">
        <f t="shared" si="3"/>
        <v>0</v>
      </c>
      <c r="K26" s="98">
        <f>H26/H25</f>
        <v>0.83333333333333337</v>
      </c>
      <c r="L26" s="97">
        <v>4</v>
      </c>
      <c r="M26" s="97">
        <v>4</v>
      </c>
      <c r="N26" s="97">
        <v>4</v>
      </c>
      <c r="O26" s="97">
        <v>5</v>
      </c>
      <c r="P26" s="97">
        <v>5</v>
      </c>
      <c r="Q26" s="98">
        <f t="shared" si="0"/>
        <v>0</v>
      </c>
      <c r="R26" s="97">
        <f t="shared" si="1"/>
        <v>0</v>
      </c>
      <c r="S26" s="98">
        <f>P26/P25</f>
        <v>0.83333333333333337</v>
      </c>
    </row>
    <row r="27" spans="2:19" x14ac:dyDescent="0.25">
      <c r="B27" s="99" t="s">
        <v>64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100" t="str">
        <f t="shared" si="2"/>
        <v>-</v>
      </c>
      <c r="J27" s="54">
        <f t="shared" si="3"/>
        <v>0</v>
      </c>
      <c r="K27" s="100">
        <f>H27/H25</f>
        <v>0</v>
      </c>
      <c r="L27" s="54">
        <v>0</v>
      </c>
      <c r="M27" s="54">
        <v>0</v>
      </c>
      <c r="N27" s="54">
        <v>0</v>
      </c>
      <c r="O27" s="54">
        <v>0</v>
      </c>
      <c r="P27" s="54">
        <v>0</v>
      </c>
      <c r="Q27" s="100" t="str">
        <f t="shared" si="0"/>
        <v>-</v>
      </c>
      <c r="R27" s="54">
        <f t="shared" si="1"/>
        <v>0</v>
      </c>
      <c r="S27" s="100">
        <f>P27/P25</f>
        <v>0</v>
      </c>
    </row>
    <row r="28" spans="2:19" x14ac:dyDescent="0.25">
      <c r="B28" s="99" t="s">
        <v>65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100" t="str">
        <f t="shared" si="2"/>
        <v>-</v>
      </c>
      <c r="J28" s="54">
        <f t="shared" si="3"/>
        <v>0</v>
      </c>
      <c r="K28" s="100">
        <f>H28/H25</f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100" t="str">
        <f t="shared" si="0"/>
        <v>-</v>
      </c>
      <c r="R28" s="54">
        <f t="shared" si="1"/>
        <v>0</v>
      </c>
      <c r="S28" s="100">
        <f>P28/P25</f>
        <v>0</v>
      </c>
    </row>
    <row r="29" spans="2:19" x14ac:dyDescent="0.25">
      <c r="B29" s="93" t="s">
        <v>51</v>
      </c>
      <c r="C29" s="101">
        <v>33</v>
      </c>
      <c r="D29" s="101">
        <v>37</v>
      </c>
      <c r="E29" s="101">
        <v>62</v>
      </c>
      <c r="F29" s="101">
        <v>62</v>
      </c>
      <c r="G29" s="101">
        <v>68</v>
      </c>
      <c r="H29" s="101">
        <v>65</v>
      </c>
      <c r="I29" s="102">
        <f t="shared" si="2"/>
        <v>-4.4117647058823484E-2</v>
      </c>
      <c r="J29" s="101">
        <f t="shared" si="3"/>
        <v>-3</v>
      </c>
      <c r="K29" s="95">
        <f>H29/H29</f>
        <v>1</v>
      </c>
      <c r="L29" s="101">
        <v>56</v>
      </c>
      <c r="M29" s="101">
        <v>99</v>
      </c>
      <c r="N29" s="101">
        <v>62</v>
      </c>
      <c r="O29" s="101">
        <v>64</v>
      </c>
      <c r="P29" s="101">
        <v>66</v>
      </c>
      <c r="Q29" s="102">
        <f t="shared" si="0"/>
        <v>3.125E-2</v>
      </c>
      <c r="R29" s="101">
        <f t="shared" si="1"/>
        <v>2</v>
      </c>
      <c r="S29" s="95">
        <f>P29/P29</f>
        <v>1</v>
      </c>
    </row>
    <row r="30" spans="2:19" x14ac:dyDescent="0.25">
      <c r="B30" s="96" t="s">
        <v>63</v>
      </c>
      <c r="C30" s="97">
        <v>21</v>
      </c>
      <c r="D30" s="97">
        <v>25</v>
      </c>
      <c r="E30" s="97">
        <v>41</v>
      </c>
      <c r="F30" s="97">
        <v>43</v>
      </c>
      <c r="G30" s="97">
        <v>49</v>
      </c>
      <c r="H30" s="97">
        <v>46</v>
      </c>
      <c r="I30" s="98">
        <f t="shared" si="2"/>
        <v>-6.1224489795918324E-2</v>
      </c>
      <c r="J30" s="97">
        <f t="shared" si="3"/>
        <v>-3</v>
      </c>
      <c r="K30" s="98">
        <f>H30/H29</f>
        <v>0.70769230769230773</v>
      </c>
      <c r="L30" s="97">
        <v>39</v>
      </c>
      <c r="M30" s="97">
        <v>42</v>
      </c>
      <c r="N30" s="97">
        <v>43</v>
      </c>
      <c r="O30" s="97">
        <v>45</v>
      </c>
      <c r="P30" s="97">
        <v>47</v>
      </c>
      <c r="Q30" s="98">
        <f t="shared" si="0"/>
        <v>4.4444444444444509E-2</v>
      </c>
      <c r="R30" s="97">
        <f t="shared" si="1"/>
        <v>2</v>
      </c>
      <c r="S30" s="98">
        <f>P30/P29</f>
        <v>0.71212121212121215</v>
      </c>
    </row>
    <row r="31" spans="2:19" x14ac:dyDescent="0.25">
      <c r="B31" s="99" t="s">
        <v>64</v>
      </c>
      <c r="C31" s="54">
        <v>11</v>
      </c>
      <c r="D31" s="54">
        <v>14</v>
      </c>
      <c r="E31" s="54">
        <v>25</v>
      </c>
      <c r="F31" s="54">
        <v>26</v>
      </c>
      <c r="G31" s="54">
        <v>30</v>
      </c>
      <c r="H31" s="54">
        <v>29</v>
      </c>
      <c r="I31" s="100">
        <f t="shared" si="2"/>
        <v>-3.3333333333333326E-2</v>
      </c>
      <c r="J31" s="54">
        <f t="shared" si="3"/>
        <v>-1</v>
      </c>
      <c r="K31" s="100">
        <f>H31/H29</f>
        <v>0.44615384615384618</v>
      </c>
      <c r="L31" s="54">
        <v>23</v>
      </c>
      <c r="M31" s="54">
        <v>26</v>
      </c>
      <c r="N31" s="54">
        <v>26</v>
      </c>
      <c r="O31" s="54">
        <v>28</v>
      </c>
      <c r="P31" s="54">
        <v>29</v>
      </c>
      <c r="Q31" s="100">
        <f t="shared" si="0"/>
        <v>3.5714285714285809E-2</v>
      </c>
      <c r="R31" s="54">
        <f t="shared" si="1"/>
        <v>1</v>
      </c>
      <c r="S31" s="100">
        <f>P31/P29</f>
        <v>0.43939393939393939</v>
      </c>
    </row>
    <row r="32" spans="2:19" x14ac:dyDescent="0.25">
      <c r="B32" s="99" t="s">
        <v>65</v>
      </c>
      <c r="C32" s="54">
        <v>10</v>
      </c>
      <c r="D32" s="54">
        <v>11</v>
      </c>
      <c r="E32" s="54">
        <v>16</v>
      </c>
      <c r="F32" s="54">
        <v>17</v>
      </c>
      <c r="G32" s="54">
        <v>18</v>
      </c>
      <c r="H32" s="54">
        <v>18</v>
      </c>
      <c r="I32" s="100">
        <f t="shared" si="2"/>
        <v>0</v>
      </c>
      <c r="J32" s="54">
        <f t="shared" si="3"/>
        <v>0</v>
      </c>
      <c r="K32" s="100">
        <f>H32/H29</f>
        <v>0.27692307692307694</v>
      </c>
      <c r="L32" s="54">
        <v>16</v>
      </c>
      <c r="M32" s="54">
        <v>16</v>
      </c>
      <c r="N32" s="54">
        <v>17</v>
      </c>
      <c r="O32" s="54">
        <v>17</v>
      </c>
      <c r="P32" s="54">
        <v>18</v>
      </c>
      <c r="Q32" s="100">
        <f t="shared" si="0"/>
        <v>5.8823529411764719E-2</v>
      </c>
      <c r="R32" s="54">
        <f t="shared" si="1"/>
        <v>1</v>
      </c>
      <c r="S32" s="100">
        <f>P32/P29</f>
        <v>0.27272727272727271</v>
      </c>
    </row>
    <row r="33" spans="2:19" x14ac:dyDescent="0.25">
      <c r="B33" s="96" t="s">
        <v>66</v>
      </c>
      <c r="C33" s="97">
        <v>12</v>
      </c>
      <c r="D33" s="97">
        <v>12</v>
      </c>
      <c r="E33" s="97">
        <v>22</v>
      </c>
      <c r="F33" s="97">
        <v>19</v>
      </c>
      <c r="G33" s="97">
        <v>19</v>
      </c>
      <c r="H33" s="97">
        <v>19</v>
      </c>
      <c r="I33" s="98">
        <f t="shared" si="2"/>
        <v>0</v>
      </c>
      <c r="J33" s="97">
        <f t="shared" si="3"/>
        <v>0</v>
      </c>
      <c r="K33" s="98">
        <f>H33/H29</f>
        <v>0.29230769230769232</v>
      </c>
      <c r="L33" s="97">
        <v>17</v>
      </c>
      <c r="M33" s="97">
        <v>57</v>
      </c>
      <c r="N33" s="97">
        <v>19</v>
      </c>
      <c r="O33" s="97">
        <v>19</v>
      </c>
      <c r="P33" s="97">
        <v>19</v>
      </c>
      <c r="Q33" s="98">
        <f t="shared" si="0"/>
        <v>0</v>
      </c>
      <c r="R33" s="97">
        <f t="shared" si="1"/>
        <v>0</v>
      </c>
      <c r="S33" s="98">
        <f>P33/P29</f>
        <v>0.2878787878787879</v>
      </c>
    </row>
    <row r="34" spans="2:19" x14ac:dyDescent="0.25">
      <c r="B34" s="93" t="s">
        <v>52</v>
      </c>
      <c r="C34" s="101">
        <v>4</v>
      </c>
      <c r="D34" s="101">
        <v>3</v>
      </c>
      <c r="E34" s="101">
        <v>5</v>
      </c>
      <c r="F34" s="101">
        <v>5</v>
      </c>
      <c r="G34" s="101">
        <v>7</v>
      </c>
      <c r="H34" s="101">
        <v>6</v>
      </c>
      <c r="I34" s="102">
        <f t="shared" si="2"/>
        <v>-0.1428571428571429</v>
      </c>
      <c r="J34" s="101">
        <f t="shared" si="3"/>
        <v>-1</v>
      </c>
      <c r="K34" s="95">
        <f>H34/H34</f>
        <v>1</v>
      </c>
      <c r="L34" s="101">
        <v>4</v>
      </c>
      <c r="M34" s="101">
        <v>5</v>
      </c>
      <c r="N34" s="101">
        <v>6</v>
      </c>
      <c r="O34" s="101">
        <v>6</v>
      </c>
      <c r="P34" s="101">
        <v>6</v>
      </c>
      <c r="Q34" s="102">
        <f t="shared" si="0"/>
        <v>0</v>
      </c>
      <c r="R34" s="101">
        <f t="shared" si="1"/>
        <v>0</v>
      </c>
      <c r="S34" s="95">
        <f>P34/P34</f>
        <v>1</v>
      </c>
    </row>
    <row r="35" spans="2:19" x14ac:dyDescent="0.25">
      <c r="B35" s="96" t="s">
        <v>63</v>
      </c>
      <c r="C35" s="97">
        <v>4</v>
      </c>
      <c r="D35" s="97">
        <v>3</v>
      </c>
      <c r="E35" s="97">
        <v>5</v>
      </c>
      <c r="F35" s="97">
        <v>5</v>
      </c>
      <c r="G35" s="97">
        <v>7</v>
      </c>
      <c r="H35" s="97">
        <v>6</v>
      </c>
      <c r="I35" s="98">
        <f t="shared" si="2"/>
        <v>-0.1428571428571429</v>
      </c>
      <c r="J35" s="97">
        <f t="shared" si="3"/>
        <v>-1</v>
      </c>
      <c r="K35" s="98">
        <f>H35/H34</f>
        <v>1</v>
      </c>
      <c r="L35" s="97">
        <v>4</v>
      </c>
      <c r="M35" s="97">
        <v>5</v>
      </c>
      <c r="N35" s="97">
        <v>6</v>
      </c>
      <c r="O35" s="97">
        <v>6</v>
      </c>
      <c r="P35" s="97">
        <v>6</v>
      </c>
      <c r="Q35" s="98">
        <f t="shared" si="0"/>
        <v>0</v>
      </c>
      <c r="R35" s="97">
        <f t="shared" si="1"/>
        <v>0</v>
      </c>
      <c r="S35" s="98">
        <f>P35/P34</f>
        <v>1</v>
      </c>
    </row>
    <row r="36" spans="2:19" x14ac:dyDescent="0.25">
      <c r="B36" s="93" t="s">
        <v>53</v>
      </c>
      <c r="C36" s="101">
        <v>6</v>
      </c>
      <c r="D36" s="101">
        <v>7</v>
      </c>
      <c r="E36" s="101">
        <v>12</v>
      </c>
      <c r="F36" s="101">
        <v>12</v>
      </c>
      <c r="G36" s="101">
        <v>13</v>
      </c>
      <c r="H36" s="101">
        <v>13</v>
      </c>
      <c r="I36" s="102">
        <f t="shared" si="2"/>
        <v>0</v>
      </c>
      <c r="J36" s="101">
        <f t="shared" si="3"/>
        <v>0</v>
      </c>
      <c r="K36" s="102">
        <f>H36/H36</f>
        <v>1</v>
      </c>
      <c r="L36" s="101">
        <v>10</v>
      </c>
      <c r="M36" s="101">
        <v>24</v>
      </c>
      <c r="N36" s="101">
        <v>12</v>
      </c>
      <c r="O36" s="101">
        <v>12</v>
      </c>
      <c r="P36" s="101">
        <v>13</v>
      </c>
      <c r="Q36" s="102">
        <f t="shared" si="0"/>
        <v>8.3333333333333259E-2</v>
      </c>
      <c r="R36" s="101">
        <f t="shared" si="1"/>
        <v>1</v>
      </c>
      <c r="S36" s="102">
        <f>P36/P36</f>
        <v>1</v>
      </c>
    </row>
    <row r="37" spans="2:19" x14ac:dyDescent="0.25">
      <c r="B37" s="96" t="s">
        <v>63</v>
      </c>
      <c r="C37" s="97">
        <v>2</v>
      </c>
      <c r="D37" s="97">
        <v>3</v>
      </c>
      <c r="E37" s="97">
        <v>6</v>
      </c>
      <c r="F37" s="97">
        <v>6</v>
      </c>
      <c r="G37" s="97">
        <v>7</v>
      </c>
      <c r="H37" s="97">
        <v>7</v>
      </c>
      <c r="I37" s="98">
        <f t="shared" si="2"/>
        <v>0</v>
      </c>
      <c r="J37" s="97">
        <f t="shared" si="3"/>
        <v>0</v>
      </c>
      <c r="K37" s="98">
        <f>H37/H36</f>
        <v>0.53846153846153844</v>
      </c>
      <c r="L37" s="97">
        <v>5</v>
      </c>
      <c r="M37" s="97">
        <v>6</v>
      </c>
      <c r="N37" s="97">
        <v>6</v>
      </c>
      <c r="O37" s="97">
        <v>6</v>
      </c>
      <c r="P37" s="97">
        <v>7</v>
      </c>
      <c r="Q37" s="98">
        <f t="shared" si="0"/>
        <v>0.16666666666666674</v>
      </c>
      <c r="R37" s="97">
        <f t="shared" si="1"/>
        <v>1</v>
      </c>
      <c r="S37" s="98">
        <f>P37/P36</f>
        <v>0.53846153846153844</v>
      </c>
    </row>
    <row r="38" spans="2:19" x14ac:dyDescent="0.25">
      <c r="B38" s="96" t="s">
        <v>66</v>
      </c>
      <c r="C38" s="97">
        <v>3</v>
      </c>
      <c r="D38" s="97">
        <v>3</v>
      </c>
      <c r="E38" s="97">
        <v>6</v>
      </c>
      <c r="F38" s="97">
        <v>6</v>
      </c>
      <c r="G38" s="97">
        <v>6</v>
      </c>
      <c r="H38" s="97">
        <v>6</v>
      </c>
      <c r="I38" s="98">
        <f t="shared" si="2"/>
        <v>0</v>
      </c>
      <c r="J38" s="97">
        <f t="shared" si="3"/>
        <v>0</v>
      </c>
      <c r="K38" s="98">
        <f>H38/H36</f>
        <v>0.46153846153846156</v>
      </c>
      <c r="L38" s="97">
        <v>5</v>
      </c>
      <c r="M38" s="97">
        <v>18</v>
      </c>
      <c r="N38" s="97">
        <v>6</v>
      </c>
      <c r="O38" s="97">
        <v>6</v>
      </c>
      <c r="P38" s="97">
        <v>6</v>
      </c>
      <c r="Q38" s="98">
        <f t="shared" si="0"/>
        <v>0</v>
      </c>
      <c r="R38" s="97">
        <f t="shared" si="1"/>
        <v>0</v>
      </c>
      <c r="S38" s="98">
        <f>P38/P36</f>
        <v>0.46153846153846156</v>
      </c>
    </row>
    <row r="39" spans="2:19" x14ac:dyDescent="0.25">
      <c r="B39" s="93" t="s">
        <v>54</v>
      </c>
      <c r="C39" s="101">
        <v>11</v>
      </c>
      <c r="D39" s="101">
        <v>12</v>
      </c>
      <c r="E39" s="101">
        <v>17</v>
      </c>
      <c r="F39" s="101">
        <v>19</v>
      </c>
      <c r="G39" s="101">
        <v>21</v>
      </c>
      <c r="H39" s="101">
        <v>20</v>
      </c>
      <c r="I39" s="102">
        <f t="shared" si="2"/>
        <v>-4.7619047619047672E-2</v>
      </c>
      <c r="J39" s="101">
        <f t="shared" si="3"/>
        <v>-1</v>
      </c>
      <c r="K39" s="95">
        <f>H39/H39</f>
        <v>1</v>
      </c>
      <c r="L39" s="101">
        <v>14</v>
      </c>
      <c r="M39" s="101">
        <v>19</v>
      </c>
      <c r="N39" s="101">
        <v>20</v>
      </c>
      <c r="O39" s="101">
        <v>20</v>
      </c>
      <c r="P39" s="101">
        <v>20</v>
      </c>
      <c r="Q39" s="102">
        <f t="shared" si="0"/>
        <v>0</v>
      </c>
      <c r="R39" s="101">
        <f t="shared" si="1"/>
        <v>0</v>
      </c>
      <c r="S39" s="95">
        <f>P39/P39</f>
        <v>1</v>
      </c>
    </row>
    <row r="40" spans="2:19" x14ac:dyDescent="0.25">
      <c r="B40" s="96" t="s">
        <v>63</v>
      </c>
      <c r="C40" s="97">
        <v>11</v>
      </c>
      <c r="D40" s="97">
        <v>12</v>
      </c>
      <c r="E40" s="97">
        <v>17</v>
      </c>
      <c r="F40" s="97">
        <v>19</v>
      </c>
      <c r="G40" s="97">
        <v>21</v>
      </c>
      <c r="H40" s="97">
        <v>20</v>
      </c>
      <c r="I40" s="98">
        <f t="shared" si="2"/>
        <v>-4.7619047619047672E-2</v>
      </c>
      <c r="J40" s="97">
        <f t="shared" si="3"/>
        <v>-1</v>
      </c>
      <c r="K40" s="98">
        <f>H40/H39</f>
        <v>1</v>
      </c>
      <c r="L40" s="97">
        <v>14</v>
      </c>
      <c r="M40" s="97">
        <v>19</v>
      </c>
      <c r="N40" s="97">
        <v>20</v>
      </c>
      <c r="O40" s="97">
        <v>20</v>
      </c>
      <c r="P40" s="97">
        <v>20</v>
      </c>
      <c r="Q40" s="98">
        <f t="shared" si="0"/>
        <v>0</v>
      </c>
      <c r="R40" s="97">
        <f t="shared" si="1"/>
        <v>0</v>
      </c>
      <c r="S40" s="98">
        <f>P40/P39</f>
        <v>1</v>
      </c>
    </row>
    <row r="41" spans="2:19" x14ac:dyDescent="0.25">
      <c r="B41" s="99" t="s">
        <v>64</v>
      </c>
      <c r="C41" s="54">
        <v>4</v>
      </c>
      <c r="D41" s="54">
        <v>7</v>
      </c>
      <c r="E41" s="54">
        <v>7</v>
      </c>
      <c r="F41" s="54">
        <v>7</v>
      </c>
      <c r="G41" s="54">
        <v>8</v>
      </c>
      <c r="H41" s="54">
        <v>8</v>
      </c>
      <c r="I41" s="100">
        <f t="shared" si="2"/>
        <v>0</v>
      </c>
      <c r="J41" s="54">
        <f t="shared" si="3"/>
        <v>0</v>
      </c>
      <c r="K41" s="100">
        <f>H41/H39</f>
        <v>0.4</v>
      </c>
      <c r="L41" s="54">
        <v>7</v>
      </c>
      <c r="M41" s="54">
        <v>7</v>
      </c>
      <c r="N41" s="54">
        <v>7</v>
      </c>
      <c r="O41" s="54">
        <v>8</v>
      </c>
      <c r="P41" s="54">
        <v>8</v>
      </c>
      <c r="Q41" s="100">
        <f t="shared" si="0"/>
        <v>0</v>
      </c>
      <c r="R41" s="54">
        <f t="shared" si="1"/>
        <v>0</v>
      </c>
      <c r="S41" s="100">
        <f>P41/P39</f>
        <v>0.4</v>
      </c>
    </row>
    <row r="42" spans="2:19" x14ac:dyDescent="0.25">
      <c r="B42" s="99" t="s">
        <v>65</v>
      </c>
      <c r="C42" s="54">
        <v>7</v>
      </c>
      <c r="D42" s="54">
        <v>6</v>
      </c>
      <c r="E42" s="54">
        <v>10</v>
      </c>
      <c r="F42" s="54">
        <v>12</v>
      </c>
      <c r="G42" s="54">
        <v>14</v>
      </c>
      <c r="H42" s="54">
        <v>12</v>
      </c>
      <c r="I42" s="100">
        <f t="shared" si="2"/>
        <v>-0.1428571428571429</v>
      </c>
      <c r="J42" s="54">
        <f t="shared" si="3"/>
        <v>-2</v>
      </c>
      <c r="K42" s="100">
        <f>H42/H39</f>
        <v>0.6</v>
      </c>
      <c r="L42" s="54">
        <v>7</v>
      </c>
      <c r="M42" s="54">
        <v>12</v>
      </c>
      <c r="N42" s="54">
        <v>13</v>
      </c>
      <c r="O42" s="54">
        <v>12</v>
      </c>
      <c r="P42" s="54">
        <v>12</v>
      </c>
      <c r="Q42" s="100">
        <f t="shared" si="0"/>
        <v>0</v>
      </c>
      <c r="R42" s="54">
        <f t="shared" si="1"/>
        <v>0</v>
      </c>
      <c r="S42" s="100">
        <f>P42/P39</f>
        <v>0.6</v>
      </c>
    </row>
    <row r="43" spans="2:19" x14ac:dyDescent="0.25">
      <c r="B43" s="93" t="s">
        <v>55</v>
      </c>
      <c r="C43" s="101">
        <v>9</v>
      </c>
      <c r="D43" s="101">
        <v>11</v>
      </c>
      <c r="E43" s="101">
        <v>15</v>
      </c>
      <c r="F43" s="101">
        <v>14</v>
      </c>
      <c r="G43" s="101">
        <v>15</v>
      </c>
      <c r="H43" s="101">
        <v>15</v>
      </c>
      <c r="I43" s="102">
        <f t="shared" si="2"/>
        <v>0</v>
      </c>
      <c r="J43" s="101">
        <f t="shared" si="3"/>
        <v>0</v>
      </c>
      <c r="K43" s="95">
        <f>H43/H43</f>
        <v>1</v>
      </c>
      <c r="L43" s="101">
        <v>14</v>
      </c>
      <c r="M43" s="101">
        <v>26</v>
      </c>
      <c r="N43" s="101">
        <v>14</v>
      </c>
      <c r="O43" s="101">
        <v>15</v>
      </c>
      <c r="P43" s="101">
        <v>15</v>
      </c>
      <c r="Q43" s="102">
        <f t="shared" si="0"/>
        <v>0</v>
      </c>
      <c r="R43" s="101">
        <f t="shared" si="1"/>
        <v>0</v>
      </c>
      <c r="S43" s="95">
        <f>P43/P43</f>
        <v>1</v>
      </c>
    </row>
    <row r="44" spans="2:19" x14ac:dyDescent="0.25">
      <c r="B44" s="96" t="s">
        <v>63</v>
      </c>
      <c r="C44" s="97">
        <v>4</v>
      </c>
      <c r="D44" s="97">
        <v>5</v>
      </c>
      <c r="E44" s="97">
        <v>8</v>
      </c>
      <c r="F44" s="97">
        <v>8</v>
      </c>
      <c r="G44" s="97">
        <v>9</v>
      </c>
      <c r="H44" s="97">
        <v>8</v>
      </c>
      <c r="I44" s="98">
        <f t="shared" si="2"/>
        <v>-0.11111111111111116</v>
      </c>
      <c r="J44" s="97">
        <f t="shared" si="3"/>
        <v>-1</v>
      </c>
      <c r="K44" s="98">
        <f>H44/H43</f>
        <v>0.53333333333333333</v>
      </c>
      <c r="L44" s="97">
        <v>8</v>
      </c>
      <c r="M44" s="97">
        <v>8</v>
      </c>
      <c r="N44" s="97">
        <v>8</v>
      </c>
      <c r="O44" s="97">
        <v>8</v>
      </c>
      <c r="P44" s="97">
        <v>8</v>
      </c>
      <c r="Q44" s="98">
        <f t="shared" si="0"/>
        <v>0</v>
      </c>
      <c r="R44" s="97">
        <f t="shared" si="1"/>
        <v>0</v>
      </c>
      <c r="S44" s="98">
        <f>P44/P43</f>
        <v>0.53333333333333333</v>
      </c>
    </row>
    <row r="45" spans="2:19" x14ac:dyDescent="0.25">
      <c r="B45" s="99" t="s">
        <v>64</v>
      </c>
      <c r="C45" s="54">
        <v>0</v>
      </c>
      <c r="D45" s="54">
        <v>4</v>
      </c>
      <c r="E45" s="54">
        <v>6</v>
      </c>
      <c r="F45" s="54">
        <v>6</v>
      </c>
      <c r="G45" s="54">
        <v>7</v>
      </c>
      <c r="H45" s="54">
        <v>6</v>
      </c>
      <c r="I45" s="100">
        <f t="shared" si="2"/>
        <v>-0.1428571428571429</v>
      </c>
      <c r="J45" s="54">
        <f t="shared" si="3"/>
        <v>-1</v>
      </c>
      <c r="K45" s="100">
        <f>H45/H43</f>
        <v>0.4</v>
      </c>
      <c r="L45" s="54">
        <v>6</v>
      </c>
      <c r="M45" s="54">
        <v>6</v>
      </c>
      <c r="N45" s="54">
        <v>6</v>
      </c>
      <c r="O45" s="54">
        <v>6</v>
      </c>
      <c r="P45" s="54">
        <v>6</v>
      </c>
      <c r="Q45" s="100">
        <f t="shared" si="0"/>
        <v>0</v>
      </c>
      <c r="R45" s="54">
        <f t="shared" si="1"/>
        <v>0</v>
      </c>
      <c r="S45" s="100">
        <f>P45/P43</f>
        <v>0.4</v>
      </c>
    </row>
    <row r="46" spans="2:19" x14ac:dyDescent="0.25">
      <c r="B46" s="99" t="s">
        <v>65</v>
      </c>
      <c r="C46" s="54">
        <v>0</v>
      </c>
      <c r="D46" s="54">
        <v>2</v>
      </c>
      <c r="E46" s="54">
        <v>2</v>
      </c>
      <c r="F46" s="54">
        <v>2</v>
      </c>
      <c r="G46" s="54">
        <v>2</v>
      </c>
      <c r="H46" s="54">
        <v>2</v>
      </c>
      <c r="I46" s="100">
        <f t="shared" si="2"/>
        <v>0</v>
      </c>
      <c r="J46" s="54">
        <f t="shared" si="3"/>
        <v>0</v>
      </c>
      <c r="K46" s="100">
        <f>H46/H43</f>
        <v>0.13333333333333333</v>
      </c>
      <c r="L46" s="54">
        <v>2</v>
      </c>
      <c r="M46" s="54">
        <v>2</v>
      </c>
      <c r="N46" s="54">
        <v>2</v>
      </c>
      <c r="O46" s="54">
        <v>2</v>
      </c>
      <c r="P46" s="54">
        <v>2</v>
      </c>
      <c r="Q46" s="100">
        <f t="shared" si="0"/>
        <v>0</v>
      </c>
      <c r="R46" s="54">
        <f t="shared" si="1"/>
        <v>0</v>
      </c>
      <c r="S46" s="100">
        <f>P46/P43</f>
        <v>0.13333333333333333</v>
      </c>
    </row>
    <row r="47" spans="2:19" x14ac:dyDescent="0.25">
      <c r="B47" s="96" t="s">
        <v>66</v>
      </c>
      <c r="C47" s="97">
        <v>5</v>
      </c>
      <c r="D47" s="97">
        <v>6</v>
      </c>
      <c r="E47" s="97">
        <v>7</v>
      </c>
      <c r="F47" s="97">
        <v>6</v>
      </c>
      <c r="G47" s="97">
        <v>6</v>
      </c>
      <c r="H47" s="97">
        <v>7</v>
      </c>
      <c r="I47" s="98">
        <f t="shared" si="2"/>
        <v>0.16666666666666674</v>
      </c>
      <c r="J47" s="97">
        <f t="shared" si="3"/>
        <v>1</v>
      </c>
      <c r="K47" s="98">
        <f>H47/H43</f>
        <v>0.46666666666666667</v>
      </c>
      <c r="L47" s="97">
        <v>6</v>
      </c>
      <c r="M47" s="97">
        <v>18</v>
      </c>
      <c r="N47" s="97">
        <v>6</v>
      </c>
      <c r="O47" s="97">
        <v>7</v>
      </c>
      <c r="P47" s="97">
        <v>7</v>
      </c>
      <c r="Q47" s="98">
        <f t="shared" si="0"/>
        <v>0</v>
      </c>
      <c r="R47" s="97">
        <f t="shared" si="1"/>
        <v>0</v>
      </c>
      <c r="S47" s="98">
        <f>P47/P43</f>
        <v>0.46666666666666667</v>
      </c>
    </row>
    <row r="48" spans="2:19" x14ac:dyDescent="0.25">
      <c r="B48" s="93" t="s">
        <v>56</v>
      </c>
      <c r="C48" s="101">
        <v>11</v>
      </c>
      <c r="D48" s="101">
        <v>13</v>
      </c>
      <c r="E48" s="101">
        <v>17</v>
      </c>
      <c r="F48" s="101">
        <v>16</v>
      </c>
      <c r="G48" s="101">
        <v>20</v>
      </c>
      <c r="H48" s="101">
        <v>19</v>
      </c>
      <c r="I48" s="102">
        <f t="shared" si="2"/>
        <v>-5.0000000000000044E-2</v>
      </c>
      <c r="J48" s="101">
        <f t="shared" si="3"/>
        <v>-1</v>
      </c>
      <c r="K48" s="95">
        <f>H48/H48</f>
        <v>1</v>
      </c>
      <c r="L48" s="101">
        <v>16</v>
      </c>
      <c r="M48" s="101">
        <v>21</v>
      </c>
      <c r="N48" s="101">
        <v>18</v>
      </c>
      <c r="O48" s="101">
        <v>19</v>
      </c>
      <c r="P48" s="101">
        <v>19</v>
      </c>
      <c r="Q48" s="102">
        <f t="shared" si="0"/>
        <v>0</v>
      </c>
      <c r="R48" s="101">
        <f t="shared" si="1"/>
        <v>0</v>
      </c>
      <c r="S48" s="95">
        <f>P48/P48</f>
        <v>1</v>
      </c>
    </row>
    <row r="49" spans="2:19" x14ac:dyDescent="0.25">
      <c r="B49" s="96" t="s">
        <v>63</v>
      </c>
      <c r="C49" s="97">
        <v>9</v>
      </c>
      <c r="D49" s="97">
        <v>12</v>
      </c>
      <c r="E49" s="97">
        <v>14</v>
      </c>
      <c r="F49" s="97">
        <v>13</v>
      </c>
      <c r="G49" s="97">
        <v>17</v>
      </c>
      <c r="H49" s="97">
        <v>16</v>
      </c>
      <c r="I49" s="98">
        <f t="shared" si="2"/>
        <v>-5.8823529411764719E-2</v>
      </c>
      <c r="J49" s="97">
        <f t="shared" si="3"/>
        <v>-1</v>
      </c>
      <c r="K49" s="98">
        <f>H49/H48</f>
        <v>0.84210526315789469</v>
      </c>
      <c r="L49" s="97">
        <v>14</v>
      </c>
      <c r="M49" s="97">
        <v>14</v>
      </c>
      <c r="N49" s="97">
        <v>15</v>
      </c>
      <c r="O49" s="97">
        <v>16</v>
      </c>
      <c r="P49" s="97">
        <v>16</v>
      </c>
      <c r="Q49" s="98">
        <f t="shared" si="0"/>
        <v>0</v>
      </c>
      <c r="R49" s="97">
        <f t="shared" si="1"/>
        <v>0</v>
      </c>
      <c r="S49" s="98">
        <f>P49/P48</f>
        <v>0.84210526315789469</v>
      </c>
    </row>
    <row r="50" spans="2:19" x14ac:dyDescent="0.25">
      <c r="B50" s="99" t="s">
        <v>64</v>
      </c>
      <c r="C50" s="54">
        <v>5</v>
      </c>
      <c r="D50" s="54">
        <v>8</v>
      </c>
      <c r="E50" s="54">
        <v>8</v>
      </c>
      <c r="F50" s="54">
        <v>8</v>
      </c>
      <c r="G50" s="54">
        <v>9</v>
      </c>
      <c r="H50" s="54">
        <v>8</v>
      </c>
      <c r="I50" s="100">
        <f t="shared" si="2"/>
        <v>-0.11111111111111116</v>
      </c>
      <c r="J50" s="54">
        <f t="shared" si="3"/>
        <v>-1</v>
      </c>
      <c r="K50" s="100">
        <f>H50/H48</f>
        <v>0.42105263157894735</v>
      </c>
      <c r="L50" s="54">
        <v>9</v>
      </c>
      <c r="M50" s="54">
        <v>8</v>
      </c>
      <c r="N50" s="54">
        <v>8</v>
      </c>
      <c r="O50" s="54">
        <v>8</v>
      </c>
      <c r="P50" s="54">
        <v>8</v>
      </c>
      <c r="Q50" s="100">
        <f t="shared" si="0"/>
        <v>0</v>
      </c>
      <c r="R50" s="54">
        <f t="shared" si="1"/>
        <v>0</v>
      </c>
      <c r="S50" s="100">
        <f>P50/P48</f>
        <v>0.42105263157894735</v>
      </c>
    </row>
    <row r="51" spans="2:19" x14ac:dyDescent="0.25">
      <c r="B51" s="99" t="s">
        <v>65</v>
      </c>
      <c r="C51" s="54">
        <v>4</v>
      </c>
      <c r="D51" s="54">
        <v>4</v>
      </c>
      <c r="E51" s="54">
        <v>6</v>
      </c>
      <c r="F51" s="54">
        <v>5</v>
      </c>
      <c r="G51" s="54">
        <v>8</v>
      </c>
      <c r="H51" s="54">
        <v>8</v>
      </c>
      <c r="I51" s="100">
        <f t="shared" si="2"/>
        <v>0</v>
      </c>
      <c r="J51" s="54">
        <f t="shared" si="3"/>
        <v>0</v>
      </c>
      <c r="K51" s="100">
        <f>H51/H48</f>
        <v>0.42105263157894735</v>
      </c>
      <c r="L51" s="54">
        <v>5</v>
      </c>
      <c r="M51" s="54">
        <v>6</v>
      </c>
      <c r="N51" s="54">
        <v>7</v>
      </c>
      <c r="O51" s="54">
        <v>8</v>
      </c>
      <c r="P51" s="54">
        <v>8</v>
      </c>
      <c r="Q51" s="100">
        <f t="shared" si="0"/>
        <v>0</v>
      </c>
      <c r="R51" s="54">
        <f t="shared" si="1"/>
        <v>0</v>
      </c>
      <c r="S51" s="100">
        <f>P51/P48</f>
        <v>0.42105263157894735</v>
      </c>
    </row>
    <row r="52" spans="2:19" x14ac:dyDescent="0.25">
      <c r="B52" s="96" t="s">
        <v>66</v>
      </c>
      <c r="C52" s="97">
        <v>2</v>
      </c>
      <c r="D52" s="97">
        <v>2</v>
      </c>
      <c r="E52" s="97">
        <v>4</v>
      </c>
      <c r="F52" s="97">
        <v>4</v>
      </c>
      <c r="G52" s="97">
        <v>4</v>
      </c>
      <c r="H52" s="97">
        <v>4</v>
      </c>
      <c r="I52" s="98">
        <f t="shared" si="2"/>
        <v>0</v>
      </c>
      <c r="J52" s="97">
        <f t="shared" si="3"/>
        <v>0</v>
      </c>
      <c r="K52" s="98">
        <f>H52/H48</f>
        <v>0.21052631578947367</v>
      </c>
      <c r="L52" s="97">
        <v>3</v>
      </c>
      <c r="M52" s="97">
        <v>10</v>
      </c>
      <c r="N52" s="97">
        <v>4</v>
      </c>
      <c r="O52" s="97">
        <v>4</v>
      </c>
      <c r="P52" s="97">
        <v>4</v>
      </c>
      <c r="Q52" s="98">
        <f t="shared" si="0"/>
        <v>0</v>
      </c>
      <c r="R52" s="97">
        <f t="shared" si="1"/>
        <v>0</v>
      </c>
      <c r="S52" s="98">
        <f>P52/P48</f>
        <v>0.21052631578947367</v>
      </c>
    </row>
    <row r="53" spans="2:19" ht="4.5" customHeight="1" x14ac:dyDescent="0.25">
      <c r="B53" s="103"/>
      <c r="C53" s="104"/>
      <c r="D53" s="104"/>
      <c r="E53" s="104"/>
      <c r="F53" s="104"/>
      <c r="G53" s="105"/>
      <c r="H53" s="104"/>
      <c r="I53" s="106"/>
      <c r="J53" s="104"/>
      <c r="K53" s="106"/>
      <c r="L53" s="104"/>
      <c r="M53" s="104"/>
      <c r="N53" s="104"/>
      <c r="O53" s="104"/>
      <c r="P53" s="106"/>
      <c r="Q53" s="106"/>
      <c r="R53" s="106"/>
    </row>
    <row r="54" spans="2:19" x14ac:dyDescent="0.25">
      <c r="B54" s="107" t="s">
        <v>58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</row>
  </sheetData>
  <mergeCells count="2">
    <mergeCell ref="C5:H5"/>
    <mergeCell ref="L5:P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24900-D3BB-4C2C-9C5B-3C514BEE6263}">
  <sheetPr>
    <tabColor theme="7"/>
  </sheetPr>
  <dimension ref="B4:B25"/>
  <sheetViews>
    <sheetView showGridLines="0" workbookViewId="0">
      <selection activeCell="H9" sqref="H9"/>
    </sheetView>
  </sheetViews>
  <sheetFormatPr baseColWidth="10" defaultRowHeight="15" x14ac:dyDescent="0.25"/>
  <sheetData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spans="2:2" ht="15" customHeight="1" x14ac:dyDescent="0.25"/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x14ac:dyDescent="0.25">
      <c r="B25" t="s">
        <v>12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FB1B-6DBF-40BB-A16F-031550EF20AB}">
  <sheetPr>
    <tabColor theme="7" tint="0.79998168889431442"/>
  </sheetPr>
  <dimension ref="A4:O290"/>
  <sheetViews>
    <sheetView showGridLines="0" zoomScaleNormal="100" workbookViewId="0">
      <selection activeCell="H9" sqref="H9"/>
    </sheetView>
  </sheetViews>
  <sheetFormatPr baseColWidth="10" defaultColWidth="11.42578125" defaultRowHeight="15" x14ac:dyDescent="0.25"/>
  <cols>
    <col min="1" max="1" width="15.28515625" customWidth="1"/>
    <col min="14" max="14" width="13.5703125" bestFit="1" customWidth="1"/>
  </cols>
  <sheetData>
    <row r="4" spans="1:15" ht="48.75" customHeight="1" thickBot="1" x14ac:dyDescent="0.3">
      <c r="B4" s="283" t="s">
        <v>241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1" t="s">
        <v>69</v>
      </c>
    </row>
    <row r="5" spans="1:15" ht="10.5" customHeight="1" thickBot="1" x14ac:dyDescent="0.3">
      <c r="B5" s="108"/>
      <c r="C5" s="109"/>
      <c r="D5" s="108"/>
      <c r="E5" s="108"/>
      <c r="F5" s="108"/>
      <c r="G5" s="108"/>
      <c r="H5" s="108"/>
      <c r="I5" s="108"/>
      <c r="J5" s="108"/>
      <c r="K5" s="108"/>
      <c r="L5" s="108"/>
      <c r="M5" s="4"/>
      <c r="N5" s="4"/>
      <c r="O5" s="1" t="s">
        <v>70</v>
      </c>
    </row>
    <row r="6" spans="1:15" ht="22.5" thickTop="1" thickBot="1" x14ac:dyDescent="0.3">
      <c r="B6" s="110" t="s">
        <v>33</v>
      </c>
      <c r="C6" s="305" t="s">
        <v>71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5" ht="22.5" thickTop="1" thickBot="1" x14ac:dyDescent="0.3">
      <c r="B7" s="111"/>
      <c r="C7" s="307">
        <f>E7-1</f>
        <v>2020</v>
      </c>
      <c r="D7" s="308"/>
      <c r="E7" s="309">
        <f>G7-1</f>
        <v>2021</v>
      </c>
      <c r="F7" s="308"/>
      <c r="G7" s="309">
        <f>I7-1</f>
        <v>2022</v>
      </c>
      <c r="H7" s="308"/>
      <c r="I7" s="309">
        <f>K7-1</f>
        <v>2023</v>
      </c>
      <c r="J7" s="308"/>
      <c r="K7" s="309">
        <f>M7-1</f>
        <v>2024</v>
      </c>
      <c r="L7" s="308"/>
      <c r="M7" s="309">
        <v>2025</v>
      </c>
      <c r="N7" s="310"/>
    </row>
    <row r="8" spans="1:15" ht="16.5" thickTop="1" thickBot="1" x14ac:dyDescent="0.3">
      <c r="B8" s="87"/>
      <c r="C8" s="116" t="s">
        <v>72</v>
      </c>
      <c r="D8" s="117" t="str">
        <f>CONCATENATE("var ",RIGHT(C7,2),"/",RIGHT(C7-1,2))</f>
        <v>var 20/19</v>
      </c>
      <c r="E8" s="118" t="s">
        <v>72</v>
      </c>
      <c r="F8" s="117" t="str">
        <f>CONCATENATE("var ",RIGHT(E7,2),"/",RIGHT(E7-1,2))</f>
        <v>var 21/20</v>
      </c>
      <c r="G8" s="118" t="s">
        <v>72</v>
      </c>
      <c r="H8" s="117" t="str">
        <f>CONCATENATE("var ",RIGHT(G7,2),"/",RIGHT(G7-1,2))</f>
        <v>var 22/21</v>
      </c>
      <c r="I8" s="118" t="s">
        <v>72</v>
      </c>
      <c r="J8" s="117" t="str">
        <f>CONCATENATE("var ",RIGHT(I7,2),"/",RIGHT(I7-1,2))</f>
        <v>var 23/22</v>
      </c>
      <c r="K8" s="118" t="s">
        <v>72</v>
      </c>
      <c r="L8" s="117" t="str">
        <f>CONCATENATE("var ",RIGHT(K7,2),"/",RIGHT(K7-1,2))</f>
        <v>var 24/23</v>
      </c>
      <c r="M8" s="118" t="s">
        <v>72</v>
      </c>
      <c r="N8" s="117" t="str">
        <f>CONCATENATE("var ",RIGHT(M7,2),"/",RIGHT(M7-1,2))</f>
        <v>var 25/24</v>
      </c>
    </row>
    <row r="9" spans="1:15" x14ac:dyDescent="0.25">
      <c r="A9" s="1" t="s">
        <v>73</v>
      </c>
      <c r="B9" s="119" t="s">
        <v>74</v>
      </c>
      <c r="C9" s="120">
        <v>102767</v>
      </c>
      <c r="D9" s="121">
        <v>8.4192760207635331E-3</v>
      </c>
      <c r="E9" s="120">
        <v>8010</v>
      </c>
      <c r="F9" s="121">
        <f t="shared" ref="F9:L21" si="0">IFERROR(E9/C9-1,"-")</f>
        <v>-0.92205669135033619</v>
      </c>
      <c r="G9" s="120">
        <v>72992</v>
      </c>
      <c r="H9" s="121">
        <f>IFERROR(G9/E9-1,"-")</f>
        <v>8.1126092384519346</v>
      </c>
      <c r="I9" s="120">
        <v>102127</v>
      </c>
      <c r="J9" s="121">
        <f t="shared" si="0"/>
        <v>0.39915333187198598</v>
      </c>
      <c r="K9" s="120">
        <v>102133</v>
      </c>
      <c r="L9" s="121">
        <f t="shared" si="0"/>
        <v>5.8750379429595156E-5</v>
      </c>
      <c r="M9" s="120">
        <v>108758</v>
      </c>
      <c r="N9" s="121">
        <f t="shared" ref="N9:N20" si="1">IFERROR(M9/K9-1,"-")</f>
        <v>6.4866399694516019E-2</v>
      </c>
    </row>
    <row r="10" spans="1:15" x14ac:dyDescent="0.25">
      <c r="A10" s="1" t="s">
        <v>75</v>
      </c>
      <c r="B10" s="119" t="s">
        <v>76</v>
      </c>
      <c r="C10" s="120">
        <v>105310</v>
      </c>
      <c r="D10" s="121">
        <v>5.3089469105308984E-2</v>
      </c>
      <c r="E10" s="120">
        <v>10131</v>
      </c>
      <c r="F10" s="121">
        <f t="shared" si="0"/>
        <v>-0.90379830975216024</v>
      </c>
      <c r="G10" s="120">
        <v>88104</v>
      </c>
      <c r="H10" s="121">
        <f t="shared" si="0"/>
        <v>7.6964761622742071</v>
      </c>
      <c r="I10" s="120">
        <v>102173</v>
      </c>
      <c r="J10" s="121">
        <f t="shared" si="0"/>
        <v>0.15968627985108519</v>
      </c>
      <c r="K10" s="120">
        <v>112246</v>
      </c>
      <c r="L10" s="121">
        <f t="shared" si="0"/>
        <v>9.8587689507012577E-2</v>
      </c>
      <c r="M10" s="120">
        <v>115019</v>
      </c>
      <c r="N10" s="121">
        <f t="shared" si="1"/>
        <v>2.4704666536001341E-2</v>
      </c>
    </row>
    <row r="11" spans="1:15" x14ac:dyDescent="0.25">
      <c r="A11" s="1" t="s">
        <v>77</v>
      </c>
      <c r="B11" s="119" t="s">
        <v>78</v>
      </c>
      <c r="C11" s="120">
        <v>41200</v>
      </c>
      <c r="D11" s="121">
        <v>-0.65453341047635816</v>
      </c>
      <c r="E11" s="120">
        <v>12907</v>
      </c>
      <c r="F11" s="121">
        <f t="shared" si="0"/>
        <v>-0.68672330097087375</v>
      </c>
      <c r="G11" s="120">
        <v>104660</v>
      </c>
      <c r="H11" s="121">
        <f t="shared" si="0"/>
        <v>7.1087781823816538</v>
      </c>
      <c r="I11" s="120">
        <v>114283</v>
      </c>
      <c r="J11" s="121">
        <f t="shared" si="0"/>
        <v>9.1945346837378095E-2</v>
      </c>
      <c r="K11" s="120">
        <v>122937</v>
      </c>
      <c r="L11" s="121">
        <f t="shared" si="0"/>
        <v>7.5724298452088279E-2</v>
      </c>
      <c r="M11" s="120">
        <v>123198</v>
      </c>
      <c r="N11" s="121">
        <f t="shared" si="1"/>
        <v>2.1230386295418846E-3</v>
      </c>
    </row>
    <row r="12" spans="1:15" x14ac:dyDescent="0.25">
      <c r="A12" s="1" t="s">
        <v>79</v>
      </c>
      <c r="B12" s="119" t="s">
        <v>80</v>
      </c>
      <c r="C12" s="120">
        <v>0</v>
      </c>
      <c r="D12" s="121">
        <v>-1</v>
      </c>
      <c r="E12" s="120">
        <v>13736</v>
      </c>
      <c r="F12" s="121" t="str">
        <f t="shared" si="0"/>
        <v>-</v>
      </c>
      <c r="G12" s="120">
        <v>110839</v>
      </c>
      <c r="H12" s="121">
        <f t="shared" si="0"/>
        <v>7.0692341292952818</v>
      </c>
      <c r="I12" s="120">
        <v>112901</v>
      </c>
      <c r="J12" s="121">
        <f t="shared" si="0"/>
        <v>1.8603560118730877E-2</v>
      </c>
      <c r="K12" s="120">
        <v>113542</v>
      </c>
      <c r="L12" s="121">
        <f t="shared" si="0"/>
        <v>5.6775405000841772E-3</v>
      </c>
      <c r="M12" s="120">
        <v>115519</v>
      </c>
      <c r="N12" s="121">
        <f t="shared" si="1"/>
        <v>1.7412058973771849E-2</v>
      </c>
    </row>
    <row r="13" spans="1:15" x14ac:dyDescent="0.25">
      <c r="A13" s="1" t="s">
        <v>81</v>
      </c>
      <c r="B13" s="119" t="s">
        <v>82</v>
      </c>
      <c r="C13" s="120">
        <v>0</v>
      </c>
      <c r="D13" s="121">
        <v>-1</v>
      </c>
      <c r="E13" s="120">
        <v>15428</v>
      </c>
      <c r="F13" s="121" t="str">
        <f t="shared" si="0"/>
        <v>-</v>
      </c>
      <c r="G13" s="120">
        <v>97379</v>
      </c>
      <c r="H13" s="121">
        <f t="shared" si="0"/>
        <v>5.3118356235416124</v>
      </c>
      <c r="I13" s="120">
        <v>96632</v>
      </c>
      <c r="J13" s="121">
        <f t="shared" si="0"/>
        <v>-7.671058441758527E-3</v>
      </c>
      <c r="K13" s="120">
        <v>110622</v>
      </c>
      <c r="L13" s="121">
        <f t="shared" si="0"/>
        <v>0.14477605762066403</v>
      </c>
      <c r="M13" s="120">
        <v>116586</v>
      </c>
      <c r="N13" s="121">
        <f t="shared" si="1"/>
        <v>5.3913326463090439E-2</v>
      </c>
    </row>
    <row r="14" spans="1:15" x14ac:dyDescent="0.25">
      <c r="A14" s="1" t="s">
        <v>83</v>
      </c>
      <c r="B14" s="119" t="s">
        <v>84</v>
      </c>
      <c r="C14" s="120">
        <v>0</v>
      </c>
      <c r="D14" s="121">
        <v>-1</v>
      </c>
      <c r="E14" s="120">
        <v>21147</v>
      </c>
      <c r="F14" s="121" t="str">
        <f t="shared" si="0"/>
        <v>-</v>
      </c>
      <c r="G14" s="120">
        <v>99145</v>
      </c>
      <c r="H14" s="121">
        <f t="shared" si="0"/>
        <v>3.6883718730789239</v>
      </c>
      <c r="I14" s="120">
        <v>109784</v>
      </c>
      <c r="J14" s="121">
        <f t="shared" si="0"/>
        <v>0.1073074789449795</v>
      </c>
      <c r="K14" s="120">
        <v>113390</v>
      </c>
      <c r="L14" s="121">
        <f t="shared" si="0"/>
        <v>3.2846316403118747E-2</v>
      </c>
      <c r="M14" s="120">
        <v>117164</v>
      </c>
      <c r="N14" s="121">
        <f t="shared" si="1"/>
        <v>3.3283358320839618E-2</v>
      </c>
    </row>
    <row r="15" spans="1:15" x14ac:dyDescent="0.25">
      <c r="A15" s="1" t="s">
        <v>85</v>
      </c>
      <c r="B15" s="119" t="s">
        <v>86</v>
      </c>
      <c r="C15" s="120">
        <v>0</v>
      </c>
      <c r="D15" s="121">
        <v>-1</v>
      </c>
      <c r="E15" s="120">
        <v>42074</v>
      </c>
      <c r="F15" s="121" t="str">
        <f t="shared" si="0"/>
        <v>-</v>
      </c>
      <c r="G15" s="120">
        <v>119732</v>
      </c>
      <c r="H15" s="121">
        <f t="shared" si="0"/>
        <v>1.8457479678661408</v>
      </c>
      <c r="I15" s="120">
        <v>113228</v>
      </c>
      <c r="J15" s="121">
        <f t="shared" si="0"/>
        <v>-5.4321317609327457E-2</v>
      </c>
      <c r="K15" s="120">
        <v>121148</v>
      </c>
      <c r="L15" s="121">
        <f t="shared" si="0"/>
        <v>6.9947362843113092E-2</v>
      </c>
      <c r="M15" s="120">
        <v>126014</v>
      </c>
      <c r="N15" s="121">
        <f t="shared" si="1"/>
        <v>4.0165747680523056E-2</v>
      </c>
    </row>
    <row r="16" spans="1:15" x14ac:dyDescent="0.25">
      <c r="A16" s="1" t="s">
        <v>87</v>
      </c>
      <c r="B16" s="119" t="s">
        <v>88</v>
      </c>
      <c r="C16" s="120">
        <v>30803</v>
      </c>
      <c r="D16" s="121">
        <v>-0.74237228597236626</v>
      </c>
      <c r="E16" s="120">
        <v>53067</v>
      </c>
      <c r="F16" s="121">
        <f t="shared" si="0"/>
        <v>0.72278674155114753</v>
      </c>
      <c r="G16" s="120">
        <v>117894</v>
      </c>
      <c r="H16" s="121">
        <f t="shared" si="0"/>
        <v>1.2216066481994461</v>
      </c>
      <c r="I16" s="120">
        <v>116797</v>
      </c>
      <c r="J16" s="121">
        <f t="shared" si="0"/>
        <v>-9.3049688703411571E-3</v>
      </c>
      <c r="K16" s="120">
        <v>126181</v>
      </c>
      <c r="L16" s="121">
        <f t="shared" si="0"/>
        <v>8.0344529397159192E-2</v>
      </c>
      <c r="M16" s="120">
        <v>123588</v>
      </c>
      <c r="N16" s="121">
        <f t="shared" si="1"/>
        <v>-2.0549845063836836E-2</v>
      </c>
    </row>
    <row r="17" spans="1:15" x14ac:dyDescent="0.25">
      <c r="A17" s="1" t="s">
        <v>89</v>
      </c>
      <c r="B17" s="119" t="s">
        <v>90</v>
      </c>
      <c r="C17" s="120">
        <v>18180</v>
      </c>
      <c r="D17" s="121">
        <v>-0.81693502099507598</v>
      </c>
      <c r="E17" s="120">
        <v>59020</v>
      </c>
      <c r="F17" s="121">
        <f t="shared" si="0"/>
        <v>2.2464246424642464</v>
      </c>
      <c r="G17" s="120">
        <v>103298</v>
      </c>
      <c r="H17" s="121">
        <f t="shared" si="0"/>
        <v>0.7502202643171807</v>
      </c>
      <c r="I17" s="120">
        <v>107312</v>
      </c>
      <c r="J17" s="121">
        <f t="shared" si="0"/>
        <v>3.8858448372669274E-2</v>
      </c>
      <c r="K17" s="120">
        <v>111150</v>
      </c>
      <c r="L17" s="121">
        <f t="shared" si="0"/>
        <v>3.5764872521246494E-2</v>
      </c>
      <c r="M17" s="120">
        <v>115871</v>
      </c>
      <c r="N17" s="121">
        <f t="shared" si="1"/>
        <v>4.2474134053081425E-2</v>
      </c>
    </row>
    <row r="18" spans="1:15" x14ac:dyDescent="0.25">
      <c r="A18" s="1" t="s">
        <v>91</v>
      </c>
      <c r="B18" s="119" t="s">
        <v>92</v>
      </c>
      <c r="C18" s="120">
        <v>21674</v>
      </c>
      <c r="D18" s="121">
        <v>-0.80267302754966408</v>
      </c>
      <c r="E18" s="120">
        <v>89457</v>
      </c>
      <c r="F18" s="121">
        <f t="shared" si="0"/>
        <v>3.127387653409615</v>
      </c>
      <c r="G18" s="120">
        <v>113209</v>
      </c>
      <c r="H18" s="121">
        <f t="shared" si="0"/>
        <v>0.26551303978447738</v>
      </c>
      <c r="I18" s="120">
        <v>119521</v>
      </c>
      <c r="J18" s="121">
        <f t="shared" si="0"/>
        <v>5.5755284473849143E-2</v>
      </c>
      <c r="K18" s="120">
        <v>125080</v>
      </c>
      <c r="L18" s="121">
        <f t="shared" si="0"/>
        <v>4.6510655031333448E-2</v>
      </c>
      <c r="M18" s="120">
        <v>130415</v>
      </c>
      <c r="N18" s="121">
        <f t="shared" si="1"/>
        <v>4.2652702270546961E-2</v>
      </c>
    </row>
    <row r="19" spans="1:15" x14ac:dyDescent="0.25">
      <c r="A19" s="1" t="s">
        <v>93</v>
      </c>
      <c r="B19" s="119" t="s">
        <v>94</v>
      </c>
      <c r="C19" s="120">
        <v>16498</v>
      </c>
      <c r="D19" s="121">
        <v>-0.8463372607460532</v>
      </c>
      <c r="E19" s="120">
        <v>88426</v>
      </c>
      <c r="F19" s="121">
        <f t="shared" si="0"/>
        <v>4.3598011880227903</v>
      </c>
      <c r="G19" s="120">
        <v>107366</v>
      </c>
      <c r="H19" s="121">
        <f t="shared" si="0"/>
        <v>0.21419039648972027</v>
      </c>
      <c r="I19" s="120">
        <v>113999</v>
      </c>
      <c r="J19" s="121">
        <f t="shared" si="0"/>
        <v>6.1779334239889794E-2</v>
      </c>
      <c r="K19" s="120">
        <v>113916</v>
      </c>
      <c r="L19" s="121">
        <f t="shared" si="0"/>
        <v>-7.280765620750751E-4</v>
      </c>
      <c r="M19" s="120">
        <v>118687</v>
      </c>
      <c r="N19" s="121">
        <f t="shared" si="1"/>
        <v>4.1881737420555565E-2</v>
      </c>
    </row>
    <row r="20" spans="1:15" x14ac:dyDescent="0.25">
      <c r="A20" s="1" t="s">
        <v>95</v>
      </c>
      <c r="B20" s="119" t="s">
        <v>96</v>
      </c>
      <c r="C20" s="120">
        <v>17398</v>
      </c>
      <c r="D20" s="121">
        <v>-0.84088747439274214</v>
      </c>
      <c r="E20" s="120">
        <v>78855</v>
      </c>
      <c r="F20" s="121">
        <f t="shared" si="0"/>
        <v>3.5324175192550866</v>
      </c>
      <c r="G20" s="120">
        <v>108917</v>
      </c>
      <c r="H20" s="121">
        <f t="shared" si="0"/>
        <v>0.38123137404096119</v>
      </c>
      <c r="I20" s="120">
        <v>111619</v>
      </c>
      <c r="J20" s="121">
        <f t="shared" si="0"/>
        <v>2.4807881230661799E-2</v>
      </c>
      <c r="K20" s="120">
        <v>115450</v>
      </c>
      <c r="L20" s="121">
        <f t="shared" si="0"/>
        <v>3.4322113618649119E-2</v>
      </c>
      <c r="M20" s="120">
        <v>110730</v>
      </c>
      <c r="N20" s="121">
        <f t="shared" si="1"/>
        <v>-4.0883499350368169E-2</v>
      </c>
    </row>
    <row r="21" spans="1:15" ht="15.75" x14ac:dyDescent="0.25">
      <c r="A21" s="1" t="s">
        <v>0</v>
      </c>
      <c r="B21" s="122" t="s">
        <v>33</v>
      </c>
      <c r="C21" s="123">
        <v>375345</v>
      </c>
      <c r="D21" s="124">
        <v>-0.71114220212080703</v>
      </c>
      <c r="E21" s="123">
        <v>492258</v>
      </c>
      <c r="F21" s="124">
        <f t="shared" si="0"/>
        <v>0.31148143707788845</v>
      </c>
      <c r="G21" s="123">
        <v>1243535</v>
      </c>
      <c r="H21" s="124">
        <f t="shared" si="0"/>
        <v>1.5261854555944239</v>
      </c>
      <c r="I21" s="123">
        <v>1320376</v>
      </c>
      <c r="J21" s="124">
        <f t="shared" si="0"/>
        <v>6.1792390242333406E-2</v>
      </c>
      <c r="K21" s="123">
        <v>1387795</v>
      </c>
      <c r="L21" s="124">
        <f t="shared" si="0"/>
        <v>5.10604555066132E-2</v>
      </c>
      <c r="M21" s="123">
        <v>1421549</v>
      </c>
      <c r="N21" s="124">
        <v>2.4322036035581585E-2</v>
      </c>
    </row>
    <row r="22" spans="1:15" ht="6" customHeight="1" x14ac:dyDescent="0.25"/>
    <row r="23" spans="1:15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</row>
    <row r="24" spans="1:15" x14ac:dyDescent="0.25">
      <c r="E24" s="125"/>
      <c r="G24" s="125"/>
      <c r="I24" s="125"/>
      <c r="K24" s="125"/>
      <c r="N24" s="81"/>
    </row>
    <row r="25" spans="1:15" x14ac:dyDescent="0.25">
      <c r="B25" t="s">
        <v>12</v>
      </c>
    </row>
    <row r="26" spans="1:15" ht="48.75" customHeight="1" thickBot="1" x14ac:dyDescent="0.3">
      <c r="B26" s="283" t="s">
        <v>242</v>
      </c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1" t="s">
        <v>97</v>
      </c>
    </row>
    <row r="27" spans="1:15" ht="10.5" customHeight="1" thickBot="1" x14ac:dyDescent="0.3">
      <c r="B27" s="108"/>
      <c r="C27" s="109"/>
      <c r="D27" s="108"/>
      <c r="E27" s="108"/>
      <c r="F27" s="108"/>
      <c r="G27" s="108"/>
      <c r="H27" s="108"/>
      <c r="I27" s="108"/>
      <c r="J27" s="108"/>
      <c r="K27" s="108"/>
      <c r="L27" s="108"/>
      <c r="M27" s="4"/>
      <c r="N27" s="4"/>
      <c r="O27" s="1" t="s">
        <v>98</v>
      </c>
    </row>
    <row r="28" spans="1:15" ht="22.5" thickTop="1" thickBot="1" x14ac:dyDescent="0.3">
      <c r="B28" s="126" t="s">
        <v>99</v>
      </c>
      <c r="C28" s="305" t="s">
        <v>100</v>
      </c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</row>
    <row r="29" spans="1:15" ht="22.5" thickTop="1" thickBot="1" x14ac:dyDescent="0.3">
      <c r="B29" s="111"/>
      <c r="C29" s="307">
        <f>C$7</f>
        <v>2020</v>
      </c>
      <c r="D29" s="308"/>
      <c r="E29" s="307">
        <f>E$7</f>
        <v>2021</v>
      </c>
      <c r="F29" s="308"/>
      <c r="G29" s="307">
        <f>G$7</f>
        <v>2022</v>
      </c>
      <c r="H29" s="308"/>
      <c r="I29" s="307">
        <f>I$7</f>
        <v>2023</v>
      </c>
      <c r="J29" s="308"/>
      <c r="K29" s="307">
        <f>K$7</f>
        <v>2024</v>
      </c>
      <c r="L29" s="308"/>
      <c r="M29" s="307">
        <f>M$7</f>
        <v>2025</v>
      </c>
      <c r="N29" s="308"/>
    </row>
    <row r="30" spans="1:15" ht="16.5" thickTop="1" thickBot="1" x14ac:dyDescent="0.3">
      <c r="B30" s="87"/>
      <c r="C30" s="116" t="s">
        <v>72</v>
      </c>
      <c r="D30" s="117" t="str">
        <f>CONCATENATE("var ",RIGHT(C29,2),"/",RIGHT(C29-1,2))</f>
        <v>var 20/19</v>
      </c>
      <c r="E30" s="118" t="s">
        <v>72</v>
      </c>
      <c r="F30" s="117" t="str">
        <f>CONCATENATE("var ",RIGHT(E29,2),"/",RIGHT(E29-1,2))</f>
        <v>var 21/20</v>
      </c>
      <c r="G30" s="118" t="s">
        <v>72</v>
      </c>
      <c r="H30" s="117" t="str">
        <f>CONCATENATE("var ",RIGHT(G29,2),"/",RIGHT(G29-1,2))</f>
        <v>var 22/21</v>
      </c>
      <c r="I30" s="118" t="s">
        <v>72</v>
      </c>
      <c r="J30" s="117" t="str">
        <f>CONCATENATE("var ",RIGHT(I29,2),"/",RIGHT(I29-1,2))</f>
        <v>var 23/22</v>
      </c>
      <c r="K30" s="118" t="s">
        <v>72</v>
      </c>
      <c r="L30" s="117" t="str">
        <f>CONCATENATE("var ",RIGHT(K29,2),"/",RIGHT(K29-1,2))</f>
        <v>var 24/23</v>
      </c>
      <c r="M30" s="118" t="s">
        <v>72</v>
      </c>
      <c r="N30" s="117" t="str">
        <f>CONCATENATE("var ",RIGHT(M29,2),"/",RIGHT(M29-1,2))</f>
        <v>var 25/24</v>
      </c>
    </row>
    <row r="31" spans="1:15" x14ac:dyDescent="0.25">
      <c r="B31" s="119" t="s">
        <v>74</v>
      </c>
      <c r="C31" s="120">
        <v>5572</v>
      </c>
      <c r="D31" s="121">
        <v>0.13644707322047722</v>
      </c>
      <c r="E31" s="120">
        <v>1875</v>
      </c>
      <c r="F31" s="121">
        <f t="shared" ref="F31:L43" si="2">IFERROR(E31/C31-1,"-")</f>
        <v>-0.66349605168700654</v>
      </c>
      <c r="G31" s="120">
        <v>4149</v>
      </c>
      <c r="H31" s="121">
        <f t="shared" si="2"/>
        <v>1.2128000000000001</v>
      </c>
      <c r="I31" s="120">
        <v>5690</v>
      </c>
      <c r="J31" s="121">
        <f t="shared" si="2"/>
        <v>0.37141479874668604</v>
      </c>
      <c r="K31" s="120">
        <v>4375</v>
      </c>
      <c r="L31" s="121">
        <f t="shared" si="2"/>
        <v>-0.23110720562390163</v>
      </c>
      <c r="M31" s="120">
        <v>5520</v>
      </c>
      <c r="N31" s="121">
        <f t="shared" ref="N31" si="3">IFERROR(M31/K31-1,"-")</f>
        <v>0.26171428571428579</v>
      </c>
    </row>
    <row r="32" spans="1:15" x14ac:dyDescent="0.25">
      <c r="B32" s="119" t="s">
        <v>76</v>
      </c>
      <c r="C32" s="120">
        <v>6245</v>
      </c>
      <c r="D32" s="121">
        <v>-2.7147876077930899E-3</v>
      </c>
      <c r="E32" s="120">
        <v>3001</v>
      </c>
      <c r="F32" s="121">
        <f t="shared" si="2"/>
        <v>-0.51945556445156127</v>
      </c>
      <c r="G32" s="120">
        <v>5940</v>
      </c>
      <c r="H32" s="121">
        <f t="shared" si="2"/>
        <v>0.97934021992669118</v>
      </c>
      <c r="I32" s="120">
        <v>4224</v>
      </c>
      <c r="J32" s="121">
        <f t="shared" si="2"/>
        <v>-0.28888888888888886</v>
      </c>
      <c r="K32" s="120">
        <v>4931</v>
      </c>
      <c r="L32" s="121">
        <f t="shared" si="2"/>
        <v>0.16737689393939403</v>
      </c>
      <c r="M32" s="120">
        <v>5645</v>
      </c>
      <c r="N32" s="121">
        <f>IFERROR(M32/K32-1,"-")</f>
        <v>0.14479821537213544</v>
      </c>
    </row>
    <row r="33" spans="2:15" x14ac:dyDescent="0.25">
      <c r="B33" s="119" t="s">
        <v>78</v>
      </c>
      <c r="C33" s="120">
        <v>2136</v>
      </c>
      <c r="D33" s="121">
        <v>-0.70763755817136598</v>
      </c>
      <c r="E33" s="120">
        <v>4249</v>
      </c>
      <c r="F33" s="121">
        <f t="shared" si="2"/>
        <v>0.98923220973782766</v>
      </c>
      <c r="G33" s="120">
        <v>5677</v>
      </c>
      <c r="H33" s="121">
        <f t="shared" si="2"/>
        <v>0.33607907742998355</v>
      </c>
      <c r="I33" s="120">
        <v>6239</v>
      </c>
      <c r="J33" s="121">
        <f t="shared" si="2"/>
        <v>9.8995948564382541E-2</v>
      </c>
      <c r="K33" s="120">
        <v>8729</v>
      </c>
      <c r="L33" s="121">
        <f t="shared" si="2"/>
        <v>0.39910242025965692</v>
      </c>
      <c r="M33" s="120">
        <v>5678</v>
      </c>
      <c r="N33" s="121">
        <f>IFERROR(M33/K33-1,"-")</f>
        <v>-0.34952457326154196</v>
      </c>
    </row>
    <row r="34" spans="2:15" x14ac:dyDescent="0.25">
      <c r="B34" s="119" t="s">
        <v>80</v>
      </c>
      <c r="C34" s="120">
        <v>0</v>
      </c>
      <c r="D34" s="121">
        <v>-1</v>
      </c>
      <c r="E34" s="120">
        <v>5396</v>
      </c>
      <c r="F34" s="121" t="str">
        <f t="shared" si="2"/>
        <v>-</v>
      </c>
      <c r="G34" s="120">
        <v>13370</v>
      </c>
      <c r="H34" s="121">
        <f t="shared" si="2"/>
        <v>1.4777613046701261</v>
      </c>
      <c r="I34" s="120">
        <v>12713</v>
      </c>
      <c r="J34" s="121">
        <f t="shared" si="2"/>
        <v>-4.913986537023185E-2</v>
      </c>
      <c r="K34" s="120">
        <v>8246</v>
      </c>
      <c r="L34" s="121">
        <f t="shared" si="2"/>
        <v>-0.35137261071344295</v>
      </c>
      <c r="M34" s="120">
        <v>12728</v>
      </c>
      <c r="N34" s="121">
        <f>IFERROR(M34/K34-1,"-")</f>
        <v>0.54353626000485078</v>
      </c>
    </row>
    <row r="35" spans="2:15" x14ac:dyDescent="0.25">
      <c r="B35" s="119" t="s">
        <v>82</v>
      </c>
      <c r="C35" s="120">
        <v>0</v>
      </c>
      <c r="D35" s="121">
        <v>-1</v>
      </c>
      <c r="E35" s="120">
        <v>5693</v>
      </c>
      <c r="F35" s="121" t="str">
        <f t="shared" si="2"/>
        <v>-</v>
      </c>
      <c r="G35" s="120">
        <v>10229</v>
      </c>
      <c r="H35" s="121">
        <f t="shared" si="2"/>
        <v>0.79676796065343414</v>
      </c>
      <c r="I35" s="120">
        <v>8043</v>
      </c>
      <c r="J35" s="121">
        <f t="shared" si="2"/>
        <v>-0.21370612963143998</v>
      </c>
      <c r="K35" s="120">
        <v>9596</v>
      </c>
      <c r="L35" s="121">
        <f t="shared" si="2"/>
        <v>0.19308715653363162</v>
      </c>
      <c r="M35" s="120">
        <v>9435</v>
      </c>
      <c r="N35" s="121">
        <f>IFERROR(M35/K35-1,"-")</f>
        <v>-1.6777824093372251E-2</v>
      </c>
    </row>
    <row r="36" spans="2:15" x14ac:dyDescent="0.25">
      <c r="B36" s="119" t="s">
        <v>84</v>
      </c>
      <c r="C36" s="120">
        <v>0</v>
      </c>
      <c r="D36" s="121">
        <v>-1</v>
      </c>
      <c r="E36" s="120">
        <v>6523</v>
      </c>
      <c r="F36" s="121" t="str">
        <f t="shared" si="2"/>
        <v>-</v>
      </c>
      <c r="G36" s="120">
        <v>11920</v>
      </c>
      <c r="H36" s="121">
        <f t="shared" si="2"/>
        <v>0.82738003985896058</v>
      </c>
      <c r="I36" s="120">
        <v>12303</v>
      </c>
      <c r="J36" s="121">
        <f t="shared" si="2"/>
        <v>3.213087248322144E-2</v>
      </c>
      <c r="K36" s="120">
        <v>10664</v>
      </c>
      <c r="L36" s="121">
        <f t="shared" si="2"/>
        <v>-0.13321953994960578</v>
      </c>
      <c r="M36" s="120">
        <v>10671</v>
      </c>
      <c r="N36" s="121">
        <f t="shared" ref="N36:N42" si="4">IFERROR(M36/K36-1,"-")</f>
        <v>6.5641410352590412E-4</v>
      </c>
    </row>
    <row r="37" spans="2:15" x14ac:dyDescent="0.25">
      <c r="B37" s="119" t="s">
        <v>86</v>
      </c>
      <c r="C37" s="120">
        <v>0</v>
      </c>
      <c r="D37" s="121">
        <v>-1</v>
      </c>
      <c r="E37" s="120">
        <v>14397</v>
      </c>
      <c r="F37" s="121" t="str">
        <f t="shared" si="2"/>
        <v>-</v>
      </c>
      <c r="G37" s="120">
        <v>18621</v>
      </c>
      <c r="H37" s="121">
        <f t="shared" si="2"/>
        <v>0.29339445717857893</v>
      </c>
      <c r="I37" s="120">
        <v>15011</v>
      </c>
      <c r="J37" s="121">
        <f t="shared" si="2"/>
        <v>-0.19386713925138288</v>
      </c>
      <c r="K37" s="120">
        <v>14582</v>
      </c>
      <c r="L37" s="121">
        <f t="shared" si="2"/>
        <v>-2.8579042035840385E-2</v>
      </c>
      <c r="M37" s="120">
        <v>13728</v>
      </c>
      <c r="N37" s="121">
        <f t="shared" si="4"/>
        <v>-5.856535454670142E-2</v>
      </c>
    </row>
    <row r="38" spans="2:15" x14ac:dyDescent="0.25">
      <c r="B38" s="119" t="s">
        <v>88</v>
      </c>
      <c r="C38" s="120">
        <v>13164</v>
      </c>
      <c r="D38" s="121">
        <v>-0.38037185220051772</v>
      </c>
      <c r="E38" s="120">
        <v>12562</v>
      </c>
      <c r="F38" s="121">
        <f t="shared" si="2"/>
        <v>-4.5730780917654257E-2</v>
      </c>
      <c r="G38" s="120">
        <v>19560</v>
      </c>
      <c r="H38" s="121">
        <f t="shared" si="2"/>
        <v>0.55707689858302811</v>
      </c>
      <c r="I38" s="120">
        <v>19950</v>
      </c>
      <c r="J38" s="121">
        <f t="shared" si="2"/>
        <v>1.9938650306748462E-2</v>
      </c>
      <c r="K38" s="120">
        <v>19201</v>
      </c>
      <c r="L38" s="121">
        <f t="shared" si="2"/>
        <v>-3.7543859649122768E-2</v>
      </c>
      <c r="M38" s="120">
        <v>17657</v>
      </c>
      <c r="N38" s="121">
        <f t="shared" si="4"/>
        <v>-8.0412478516743935E-2</v>
      </c>
    </row>
    <row r="39" spans="2:15" x14ac:dyDescent="0.25">
      <c r="B39" s="119" t="s">
        <v>90</v>
      </c>
      <c r="C39" s="120">
        <v>7078</v>
      </c>
      <c r="D39" s="121">
        <v>-0.24120926243567753</v>
      </c>
      <c r="E39" s="120">
        <v>8593</v>
      </c>
      <c r="F39" s="121">
        <f t="shared" si="2"/>
        <v>0.21404351511726483</v>
      </c>
      <c r="G39" s="120">
        <v>11009</v>
      </c>
      <c r="H39" s="121">
        <f t="shared" si="2"/>
        <v>0.28115908297451409</v>
      </c>
      <c r="I39" s="120">
        <v>10743</v>
      </c>
      <c r="J39" s="121">
        <f t="shared" si="2"/>
        <v>-2.4162049232446137E-2</v>
      </c>
      <c r="K39" s="120">
        <v>10757</v>
      </c>
      <c r="L39" s="121">
        <f t="shared" si="2"/>
        <v>1.3031741599180968E-3</v>
      </c>
      <c r="M39" s="120">
        <v>12182</v>
      </c>
      <c r="N39" s="121">
        <f t="shared" si="4"/>
        <v>0.1324718787766106</v>
      </c>
    </row>
    <row r="40" spans="2:15" x14ac:dyDescent="0.25">
      <c r="B40" s="119" t="s">
        <v>92</v>
      </c>
      <c r="C40" s="120">
        <v>7771</v>
      </c>
      <c r="D40" s="121">
        <v>-0.27176459563302413</v>
      </c>
      <c r="E40" s="120">
        <v>7600</v>
      </c>
      <c r="F40" s="121">
        <f t="shared" si="2"/>
        <v>-2.2004889975550168E-2</v>
      </c>
      <c r="G40" s="120">
        <v>9548</v>
      </c>
      <c r="H40" s="121">
        <f t="shared" si="2"/>
        <v>0.25631578947368427</v>
      </c>
      <c r="I40" s="120">
        <v>10093</v>
      </c>
      <c r="J40" s="121">
        <f t="shared" si="2"/>
        <v>5.7080016757436125E-2</v>
      </c>
      <c r="K40" s="120">
        <v>9833</v>
      </c>
      <c r="L40" s="121">
        <f t="shared" si="2"/>
        <v>-2.5760428019419357E-2</v>
      </c>
      <c r="M40" s="120">
        <v>10585</v>
      </c>
      <c r="N40" s="121">
        <f t="shared" si="4"/>
        <v>7.6477168717583588E-2</v>
      </c>
    </row>
    <row r="41" spans="2:15" x14ac:dyDescent="0.25">
      <c r="B41" s="119" t="s">
        <v>94</v>
      </c>
      <c r="C41" s="120">
        <v>2621</v>
      </c>
      <c r="D41" s="121">
        <v>-0.6562172088142707</v>
      </c>
      <c r="E41" s="120">
        <v>6036</v>
      </c>
      <c r="F41" s="121">
        <f t="shared" si="2"/>
        <v>1.3029378099961848</v>
      </c>
      <c r="G41" s="120">
        <v>5905</v>
      </c>
      <c r="H41" s="121">
        <f t="shared" si="2"/>
        <v>-2.1703114645460597E-2</v>
      </c>
      <c r="I41" s="120">
        <v>7021</v>
      </c>
      <c r="J41" s="121">
        <f t="shared" si="2"/>
        <v>0.18899237933954272</v>
      </c>
      <c r="K41" s="120">
        <v>6177</v>
      </c>
      <c r="L41" s="121">
        <f t="shared" si="2"/>
        <v>-0.12021079618287989</v>
      </c>
      <c r="M41" s="120">
        <v>6876</v>
      </c>
      <c r="N41" s="121">
        <f t="shared" si="4"/>
        <v>0.1131617289946576</v>
      </c>
    </row>
    <row r="42" spans="2:15" x14ac:dyDescent="0.25">
      <c r="B42" s="119" t="s">
        <v>96</v>
      </c>
      <c r="C42" s="120">
        <v>2321</v>
      </c>
      <c r="D42" s="121">
        <v>-0.7248696064485538</v>
      </c>
      <c r="E42" s="120">
        <v>7543</v>
      </c>
      <c r="F42" s="121">
        <f t="shared" si="2"/>
        <v>2.2498922878069796</v>
      </c>
      <c r="G42" s="120">
        <v>8023</v>
      </c>
      <c r="H42" s="121">
        <f t="shared" si="2"/>
        <v>6.363515842502987E-2</v>
      </c>
      <c r="I42" s="120">
        <v>7457</v>
      </c>
      <c r="J42" s="121">
        <f t="shared" si="2"/>
        <v>-7.0547176866508798E-2</v>
      </c>
      <c r="K42" s="120">
        <v>7541</v>
      </c>
      <c r="L42" s="121">
        <f t="shared" si="2"/>
        <v>1.1264583612712986E-2</v>
      </c>
      <c r="M42" s="120">
        <v>7552</v>
      </c>
      <c r="N42" s="121">
        <f t="shared" si="4"/>
        <v>1.4586924811033075E-3</v>
      </c>
    </row>
    <row r="43" spans="2:15" ht="15.75" x14ac:dyDescent="0.25">
      <c r="B43" s="122" t="s">
        <v>33</v>
      </c>
      <c r="C43" s="123">
        <v>51760</v>
      </c>
      <c r="D43" s="124">
        <v>-0.59505237875433226</v>
      </c>
      <c r="E43" s="123">
        <v>83468</v>
      </c>
      <c r="F43" s="124">
        <f t="shared" si="2"/>
        <v>0.61259659969088109</v>
      </c>
      <c r="G43" s="123">
        <v>123951</v>
      </c>
      <c r="H43" s="124">
        <f t="shared" si="2"/>
        <v>0.48501222025207258</v>
      </c>
      <c r="I43" s="123">
        <v>119487</v>
      </c>
      <c r="J43" s="124">
        <f t="shared" si="2"/>
        <v>-3.6014231430161914E-2</v>
      </c>
      <c r="K43" s="123">
        <v>114632</v>
      </c>
      <c r="L43" s="124">
        <f t="shared" si="2"/>
        <v>-4.063203528417314E-2</v>
      </c>
      <c r="M43" s="123">
        <v>118257</v>
      </c>
      <c r="N43" s="124">
        <v>3.1622932514481228E-2</v>
      </c>
    </row>
    <row r="44" spans="2:15" ht="6" customHeight="1" x14ac:dyDescent="0.25"/>
    <row r="45" spans="2:15" x14ac:dyDescent="0.25">
      <c r="B45" s="107" t="s">
        <v>58</v>
      </c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  <row r="46" spans="2:15" x14ac:dyDescent="0.25">
      <c r="C46" s="125"/>
    </row>
    <row r="47" spans="2:15" x14ac:dyDescent="0.25">
      <c r="E47" s="125"/>
      <c r="G47" s="125"/>
      <c r="I47" s="125"/>
      <c r="K47" s="127"/>
    </row>
    <row r="48" spans="2:15" ht="48.75" customHeight="1" thickBot="1" x14ac:dyDescent="0.3">
      <c r="B48" s="283" t="s">
        <v>243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1" t="s">
        <v>101</v>
      </c>
    </row>
    <row r="49" spans="1:15" ht="10.5" customHeight="1" thickBot="1" x14ac:dyDescent="0.3">
      <c r="B49" s="108"/>
      <c r="C49" s="109"/>
      <c r="D49" s="108"/>
      <c r="E49" s="108"/>
      <c r="F49" s="108"/>
      <c r="G49" s="108"/>
      <c r="H49" s="108"/>
      <c r="I49" s="108"/>
      <c r="J49" s="108"/>
      <c r="K49" s="108"/>
      <c r="L49" s="108"/>
      <c r="M49" s="4"/>
      <c r="N49" s="4"/>
      <c r="O49" s="1" t="s">
        <v>102</v>
      </c>
    </row>
    <row r="50" spans="1:15" ht="22.5" thickTop="1" thickBot="1" x14ac:dyDescent="0.3">
      <c r="B50" s="111"/>
      <c r="C50" s="305" t="s">
        <v>103</v>
      </c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</row>
    <row r="51" spans="1:15" ht="22.5" thickTop="1" thickBot="1" x14ac:dyDescent="0.3">
      <c r="B51" s="111"/>
      <c r="C51" s="307">
        <f>C$7</f>
        <v>2020</v>
      </c>
      <c r="D51" s="308"/>
      <c r="E51" s="307">
        <f>E$7</f>
        <v>2021</v>
      </c>
      <c r="F51" s="308"/>
      <c r="G51" s="307">
        <f>G$7</f>
        <v>2022</v>
      </c>
      <c r="H51" s="308"/>
      <c r="I51" s="307">
        <f>I$7</f>
        <v>2023</v>
      </c>
      <c r="J51" s="308"/>
      <c r="K51" s="307">
        <f>K$7</f>
        <v>2024</v>
      </c>
      <c r="L51" s="308"/>
      <c r="M51" s="307">
        <f>M$7</f>
        <v>2025</v>
      </c>
      <c r="N51" s="308"/>
    </row>
    <row r="52" spans="1:15" ht="16.5" thickTop="1" thickBot="1" x14ac:dyDescent="0.3">
      <c r="B52" s="87"/>
      <c r="C52" s="116" t="s">
        <v>72</v>
      </c>
      <c r="D52" s="117" t="str">
        <f>CONCATENATE("var ",RIGHT(C51,2),"/",RIGHT(C51-1,2))</f>
        <v>var 20/19</v>
      </c>
      <c r="E52" s="118" t="s">
        <v>72</v>
      </c>
      <c r="F52" s="117" t="str">
        <f>CONCATENATE("var ",RIGHT(E51,2),"/",RIGHT(E51-1,2))</f>
        <v>var 21/20</v>
      </c>
      <c r="G52" s="118" t="s">
        <v>72</v>
      </c>
      <c r="H52" s="117" t="str">
        <f>CONCATENATE("var ",RIGHT(G51,2),"/",RIGHT(G51-1,2))</f>
        <v>var 22/21</v>
      </c>
      <c r="I52" s="118" t="s">
        <v>72</v>
      </c>
      <c r="J52" s="117" t="str">
        <f>CONCATENATE("var ",RIGHT(I51,2),"/",RIGHT(I51-1,2))</f>
        <v>var 23/22</v>
      </c>
      <c r="K52" s="118" t="s">
        <v>72</v>
      </c>
      <c r="L52" s="117" t="str">
        <f>CONCATENATE("var ",RIGHT(K51,2),"/",RIGHT(K51-1,2))</f>
        <v>var 24/23</v>
      </c>
      <c r="M52" s="118" t="s">
        <v>72</v>
      </c>
      <c r="N52" s="117" t="str">
        <f>CONCATENATE("var ",RIGHT(M51,2),"/",RIGHT(M51-1,2))</f>
        <v>var 25/24</v>
      </c>
    </row>
    <row r="53" spans="1:15" x14ac:dyDescent="0.25">
      <c r="A53" s="1">
        <v>1</v>
      </c>
      <c r="B53" s="119" t="s">
        <v>74</v>
      </c>
      <c r="C53" s="120">
        <v>3650</v>
      </c>
      <c r="D53" s="121">
        <v>-6.0489060489060442E-2</v>
      </c>
      <c r="E53" s="120">
        <v>295</v>
      </c>
      <c r="F53" s="121">
        <f>IFERROR(E53/C53-1,"-")</f>
        <v>-0.91917808219178077</v>
      </c>
      <c r="G53" s="120">
        <v>2603</v>
      </c>
      <c r="H53" s="121">
        <f>IFERROR(G53/E53-1,"-")</f>
        <v>7.8237288135593221</v>
      </c>
      <c r="I53" s="120">
        <v>4265</v>
      </c>
      <c r="J53" s="121">
        <f>IFERROR(I53/G53-1,"-")</f>
        <v>0.63849404533230891</v>
      </c>
      <c r="K53" s="120">
        <v>3214</v>
      </c>
      <c r="L53" s="121">
        <f>IFERROR(K53/I53-1,"-")</f>
        <v>-0.24642438452520521</v>
      </c>
      <c r="M53" s="120">
        <v>3737</v>
      </c>
      <c r="N53" s="121">
        <f t="shared" ref="N53:N64" si="5">IFERROR(M53/K53-1,"-")</f>
        <v>0.16272557560672052</v>
      </c>
    </row>
    <row r="54" spans="1:15" x14ac:dyDescent="0.25">
      <c r="A54" s="1">
        <v>2</v>
      </c>
      <c r="B54" s="119" t="s">
        <v>76</v>
      </c>
      <c r="C54" s="120">
        <v>3952</v>
      </c>
      <c r="D54" s="121">
        <v>-0.109107303877367</v>
      </c>
      <c r="E54" s="120">
        <v>722</v>
      </c>
      <c r="F54" s="121">
        <f t="shared" ref="F54:L65" si="6">IFERROR(E54/C54-1,"-")</f>
        <v>-0.81730769230769229</v>
      </c>
      <c r="G54" s="120">
        <v>3449</v>
      </c>
      <c r="H54" s="121">
        <f t="shared" si="6"/>
        <v>3.7770083102493075</v>
      </c>
      <c r="I54" s="120">
        <v>2830</v>
      </c>
      <c r="J54" s="121">
        <f t="shared" si="6"/>
        <v>-0.17947231081472892</v>
      </c>
      <c r="K54" s="120">
        <v>3176</v>
      </c>
      <c r="L54" s="121">
        <f t="shared" si="6"/>
        <v>0.12226148409894</v>
      </c>
      <c r="M54" s="120">
        <v>3570</v>
      </c>
      <c r="N54" s="121">
        <f t="shared" si="5"/>
        <v>0.12405541561712852</v>
      </c>
    </row>
    <row r="55" spans="1:15" x14ac:dyDescent="0.25">
      <c r="A55" s="1">
        <v>3</v>
      </c>
      <c r="B55" s="119" t="s">
        <v>78</v>
      </c>
      <c r="C55" s="120">
        <v>1272</v>
      </c>
      <c r="D55" s="121">
        <v>-0.74093686354378818</v>
      </c>
      <c r="E55" s="120">
        <v>838</v>
      </c>
      <c r="F55" s="121">
        <f t="shared" si="6"/>
        <v>-0.3411949685534591</v>
      </c>
      <c r="G55" s="120">
        <v>3256</v>
      </c>
      <c r="H55" s="121">
        <f t="shared" si="6"/>
        <v>2.8854415274463006</v>
      </c>
      <c r="I55" s="120">
        <v>4198</v>
      </c>
      <c r="J55" s="121">
        <f t="shared" si="6"/>
        <v>0.28931203931203942</v>
      </c>
      <c r="K55" s="120">
        <v>4814</v>
      </c>
      <c r="L55" s="121">
        <f t="shared" si="6"/>
        <v>0.14673654121010005</v>
      </c>
      <c r="M55" s="120">
        <v>3719</v>
      </c>
      <c r="N55" s="121">
        <f t="shared" si="5"/>
        <v>-0.22746157041960946</v>
      </c>
    </row>
    <row r="56" spans="1:15" x14ac:dyDescent="0.25">
      <c r="A56" s="1">
        <v>4</v>
      </c>
      <c r="B56" s="119" t="s">
        <v>80</v>
      </c>
      <c r="C56" s="120">
        <v>0</v>
      </c>
      <c r="D56" s="121">
        <v>-1</v>
      </c>
      <c r="E56" s="120">
        <v>788</v>
      </c>
      <c r="F56" s="121" t="str">
        <f t="shared" si="6"/>
        <v>-</v>
      </c>
      <c r="G56" s="120">
        <v>8246</v>
      </c>
      <c r="H56" s="121">
        <f t="shared" si="6"/>
        <v>9.4644670050761412</v>
      </c>
      <c r="I56" s="120">
        <v>7014</v>
      </c>
      <c r="J56" s="121">
        <f t="shared" si="6"/>
        <v>-0.14940577249575548</v>
      </c>
      <c r="K56" s="120">
        <v>4307</v>
      </c>
      <c r="L56" s="121">
        <f t="shared" si="6"/>
        <v>-0.38594240091246079</v>
      </c>
      <c r="M56" s="120">
        <v>6553</v>
      </c>
      <c r="N56" s="121">
        <f t="shared" si="5"/>
        <v>0.52147666589273278</v>
      </c>
    </row>
    <row r="57" spans="1:15" x14ac:dyDescent="0.25">
      <c r="A57" s="1">
        <v>5</v>
      </c>
      <c r="B57" s="119" t="s">
        <v>82</v>
      </c>
      <c r="C57" s="120">
        <v>0</v>
      </c>
      <c r="D57" s="121">
        <v>-1</v>
      </c>
      <c r="E57" s="120">
        <v>1163</v>
      </c>
      <c r="F57" s="121" t="str">
        <f t="shared" si="6"/>
        <v>-</v>
      </c>
      <c r="G57" s="120">
        <v>5450</v>
      </c>
      <c r="H57" s="121">
        <f t="shared" si="6"/>
        <v>3.6861564918314702</v>
      </c>
      <c r="I57" s="120">
        <v>4156</v>
      </c>
      <c r="J57" s="121">
        <f t="shared" si="6"/>
        <v>-0.23743119266055046</v>
      </c>
      <c r="K57" s="120">
        <v>5457</v>
      </c>
      <c r="L57" s="121">
        <f t="shared" si="6"/>
        <v>0.313041385948027</v>
      </c>
      <c r="M57" s="120">
        <v>5729</v>
      </c>
      <c r="N57" s="121">
        <f t="shared" si="5"/>
        <v>4.9844236760124616E-2</v>
      </c>
    </row>
    <row r="58" spans="1:15" x14ac:dyDescent="0.25">
      <c r="A58" s="1">
        <v>6</v>
      </c>
      <c r="B58" s="119" t="s">
        <v>84</v>
      </c>
      <c r="C58" s="120">
        <v>0</v>
      </c>
      <c r="D58" s="121">
        <v>-1</v>
      </c>
      <c r="E58" s="120">
        <v>2126</v>
      </c>
      <c r="F58" s="121" t="str">
        <f t="shared" si="6"/>
        <v>-</v>
      </c>
      <c r="G58" s="120">
        <v>7306</v>
      </c>
      <c r="H58" s="121">
        <f t="shared" si="6"/>
        <v>2.436500470366886</v>
      </c>
      <c r="I58" s="120">
        <v>6696</v>
      </c>
      <c r="J58" s="121">
        <f t="shared" si="6"/>
        <v>-8.3493019436079896E-2</v>
      </c>
      <c r="K58" s="120">
        <v>5557</v>
      </c>
      <c r="L58" s="121">
        <f t="shared" si="6"/>
        <v>-0.17010155316606934</v>
      </c>
      <c r="M58" s="120">
        <v>6008</v>
      </c>
      <c r="N58" s="121">
        <f t="shared" si="5"/>
        <v>8.115889868634163E-2</v>
      </c>
    </row>
    <row r="59" spans="1:15" x14ac:dyDescent="0.25">
      <c r="A59" s="1">
        <v>7</v>
      </c>
      <c r="B59" s="119" t="s">
        <v>86</v>
      </c>
      <c r="C59" s="120">
        <v>0</v>
      </c>
      <c r="D59" s="121">
        <v>-1</v>
      </c>
      <c r="E59" s="120">
        <v>6433</v>
      </c>
      <c r="F59" s="121" t="str">
        <f t="shared" si="6"/>
        <v>-</v>
      </c>
      <c r="G59" s="120">
        <v>10472</v>
      </c>
      <c r="H59" s="121">
        <f t="shared" si="6"/>
        <v>0.62785636561479863</v>
      </c>
      <c r="I59" s="120">
        <v>7433</v>
      </c>
      <c r="J59" s="121">
        <f t="shared" si="6"/>
        <v>-0.2902024446142093</v>
      </c>
      <c r="K59" s="120">
        <v>7599</v>
      </c>
      <c r="L59" s="121">
        <f t="shared" si="6"/>
        <v>2.2332840037669888E-2</v>
      </c>
      <c r="M59" s="120">
        <v>7565</v>
      </c>
      <c r="N59" s="121">
        <f t="shared" si="5"/>
        <v>-4.4742729306487261E-3</v>
      </c>
    </row>
    <row r="60" spans="1:15" x14ac:dyDescent="0.25">
      <c r="A60" s="1">
        <v>8</v>
      </c>
      <c r="B60" s="119" t="s">
        <v>88</v>
      </c>
      <c r="C60" s="120">
        <v>6200</v>
      </c>
      <c r="D60" s="121">
        <v>-0.46662078458362011</v>
      </c>
      <c r="E60" s="120">
        <v>8300</v>
      </c>
      <c r="F60" s="121">
        <f t="shared" si="6"/>
        <v>0.33870967741935476</v>
      </c>
      <c r="G60" s="120">
        <v>11207</v>
      </c>
      <c r="H60" s="121">
        <f t="shared" si="6"/>
        <v>0.35024096385542158</v>
      </c>
      <c r="I60" s="120">
        <v>9492</v>
      </c>
      <c r="J60" s="121">
        <f t="shared" si="6"/>
        <v>-0.1530293566520925</v>
      </c>
      <c r="K60" s="120">
        <v>9450</v>
      </c>
      <c r="L60" s="121">
        <f t="shared" si="6"/>
        <v>-4.4247787610619538E-3</v>
      </c>
      <c r="M60" s="120">
        <v>8887</v>
      </c>
      <c r="N60" s="121">
        <f t="shared" si="5"/>
        <v>-5.9576719576719617E-2</v>
      </c>
    </row>
    <row r="61" spans="1:15" x14ac:dyDescent="0.25">
      <c r="A61" s="1">
        <v>9</v>
      </c>
      <c r="B61" s="119" t="s">
        <v>90</v>
      </c>
      <c r="C61" s="120">
        <v>2978</v>
      </c>
      <c r="D61" s="121">
        <v>-0.52730158730158738</v>
      </c>
      <c r="E61" s="120">
        <v>5769</v>
      </c>
      <c r="F61" s="121">
        <f t="shared" si="6"/>
        <v>0.93720617864338474</v>
      </c>
      <c r="G61" s="120">
        <v>7045</v>
      </c>
      <c r="H61" s="121">
        <f t="shared" si="6"/>
        <v>0.22118218062055806</v>
      </c>
      <c r="I61" s="120">
        <v>6112</v>
      </c>
      <c r="J61" s="121">
        <f t="shared" si="6"/>
        <v>-0.13243435060326469</v>
      </c>
      <c r="K61" s="120">
        <v>6082</v>
      </c>
      <c r="L61" s="121">
        <f t="shared" si="6"/>
        <v>-4.9083769633507801E-3</v>
      </c>
      <c r="M61" s="120">
        <v>6213</v>
      </c>
      <c r="N61" s="121">
        <f t="shared" si="5"/>
        <v>2.1538967444919344E-2</v>
      </c>
    </row>
    <row r="62" spans="1:15" x14ac:dyDescent="0.25">
      <c r="A62" s="1">
        <v>10</v>
      </c>
      <c r="B62" s="119" t="s">
        <v>92</v>
      </c>
      <c r="C62" s="120">
        <v>3362</v>
      </c>
      <c r="D62" s="121">
        <v>-0.4422694094226941</v>
      </c>
      <c r="E62" s="120">
        <v>4743</v>
      </c>
      <c r="F62" s="121">
        <f t="shared" si="6"/>
        <v>0.41076740035693038</v>
      </c>
      <c r="G62" s="120">
        <v>6519</v>
      </c>
      <c r="H62" s="121">
        <f t="shared" si="6"/>
        <v>0.37444655281467432</v>
      </c>
      <c r="I62" s="120">
        <v>5748</v>
      </c>
      <c r="J62" s="121">
        <f t="shared" si="6"/>
        <v>-0.11826967326277038</v>
      </c>
      <c r="K62" s="120">
        <v>5830</v>
      </c>
      <c r="L62" s="121">
        <f t="shared" si="6"/>
        <v>1.4265831593597733E-2</v>
      </c>
      <c r="M62" s="120">
        <v>5793</v>
      </c>
      <c r="N62" s="121">
        <f t="shared" si="5"/>
        <v>-6.3464837049742595E-3</v>
      </c>
    </row>
    <row r="63" spans="1:15" x14ac:dyDescent="0.25">
      <c r="A63" s="1">
        <v>11</v>
      </c>
      <c r="B63" s="119" t="s">
        <v>94</v>
      </c>
      <c r="C63" s="120">
        <v>1184</v>
      </c>
      <c r="D63" s="121">
        <v>-0.75323051271363073</v>
      </c>
      <c r="E63" s="120">
        <v>3917</v>
      </c>
      <c r="F63" s="121">
        <f t="shared" si="6"/>
        <v>2.3082770270270272</v>
      </c>
      <c r="G63" s="120">
        <v>4255</v>
      </c>
      <c r="H63" s="121">
        <f t="shared" si="6"/>
        <v>8.6290528465662542E-2</v>
      </c>
      <c r="I63" s="120">
        <v>4279</v>
      </c>
      <c r="J63" s="121">
        <f t="shared" si="6"/>
        <v>5.640423031727293E-3</v>
      </c>
      <c r="K63" s="120">
        <v>4123</v>
      </c>
      <c r="L63" s="121">
        <f t="shared" si="6"/>
        <v>-3.6457116148632895E-2</v>
      </c>
      <c r="M63" s="120">
        <v>4741</v>
      </c>
      <c r="N63" s="121">
        <f t="shared" si="5"/>
        <v>0.14989085617268971</v>
      </c>
    </row>
    <row r="64" spans="1:15" x14ac:dyDescent="0.25">
      <c r="A64" s="1">
        <v>12</v>
      </c>
      <c r="B64" s="119" t="s">
        <v>96</v>
      </c>
      <c r="C64" s="120">
        <v>1021</v>
      </c>
      <c r="D64" s="121">
        <v>-0.81307213474917617</v>
      </c>
      <c r="E64" s="120">
        <v>4892</v>
      </c>
      <c r="F64" s="121">
        <f t="shared" si="6"/>
        <v>3.7913809990205678</v>
      </c>
      <c r="G64" s="120">
        <v>6049</v>
      </c>
      <c r="H64" s="121">
        <f t="shared" si="6"/>
        <v>0.23650858544562547</v>
      </c>
      <c r="I64" s="120">
        <v>4654</v>
      </c>
      <c r="J64" s="121">
        <f t="shared" si="6"/>
        <v>-0.23061663084807404</v>
      </c>
      <c r="K64" s="120">
        <v>4801</v>
      </c>
      <c r="L64" s="121">
        <f t="shared" si="6"/>
        <v>3.1585732703051095E-2</v>
      </c>
      <c r="M64" s="120">
        <v>4334</v>
      </c>
      <c r="N64" s="121">
        <f t="shared" si="5"/>
        <v>-9.7271401791293455E-2</v>
      </c>
    </row>
    <row r="65" spans="1:15" ht="15.75" x14ac:dyDescent="0.25">
      <c r="B65" s="122" t="s">
        <v>33</v>
      </c>
      <c r="C65" s="123">
        <v>26848</v>
      </c>
      <c r="D65" s="124">
        <v>-0.64900445804081519</v>
      </c>
      <c r="E65" s="123">
        <v>39986</v>
      </c>
      <c r="F65" s="124">
        <f t="shared" si="6"/>
        <v>0.48934743742550646</v>
      </c>
      <c r="G65" s="123">
        <v>75857</v>
      </c>
      <c r="H65" s="124">
        <f t="shared" si="6"/>
        <v>0.89708898114340019</v>
      </c>
      <c r="I65" s="123">
        <v>66877</v>
      </c>
      <c r="J65" s="124">
        <f t="shared" si="6"/>
        <v>-0.11838063725167092</v>
      </c>
      <c r="K65" s="123">
        <v>64410</v>
      </c>
      <c r="L65" s="124">
        <f t="shared" si="6"/>
        <v>-3.6888616415210018E-2</v>
      </c>
      <c r="M65" s="123">
        <v>66849</v>
      </c>
      <c r="N65" s="124">
        <v>3.7866790870982658E-2</v>
      </c>
    </row>
    <row r="66" spans="1:15" ht="6" customHeight="1" x14ac:dyDescent="0.25"/>
    <row r="67" spans="1:15" x14ac:dyDescent="0.25">
      <c r="B67" s="107" t="s">
        <v>58</v>
      </c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</row>
    <row r="68" spans="1:15" x14ac:dyDescent="0.25">
      <c r="C68" s="125"/>
    </row>
    <row r="70" spans="1:15" ht="48.75" customHeight="1" thickBot="1" x14ac:dyDescent="0.3">
      <c r="B70" s="283" t="s">
        <v>244</v>
      </c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1" t="s">
        <v>104</v>
      </c>
    </row>
    <row r="71" spans="1:15" ht="10.5" customHeight="1" thickBot="1" x14ac:dyDescent="0.3">
      <c r="B71" s="108"/>
      <c r="C71" s="109"/>
      <c r="D71" s="108"/>
      <c r="E71" s="108"/>
      <c r="F71" s="108"/>
      <c r="G71" s="108"/>
      <c r="H71" s="108"/>
      <c r="I71" s="108"/>
      <c r="J71" s="108"/>
      <c r="K71" s="108"/>
      <c r="L71" s="108"/>
      <c r="M71" s="4"/>
      <c r="N71" s="4"/>
      <c r="O71" s="1" t="s">
        <v>105</v>
      </c>
    </row>
    <row r="72" spans="1:15" ht="22.5" thickTop="1" thickBot="1" x14ac:dyDescent="0.3">
      <c r="B72" s="111"/>
      <c r="C72" s="305" t="s">
        <v>106</v>
      </c>
      <c r="D72" s="306"/>
      <c r="E72" s="306"/>
      <c r="F72" s="306"/>
      <c r="G72" s="306"/>
      <c r="H72" s="306"/>
      <c r="I72" s="306"/>
      <c r="J72" s="306"/>
      <c r="K72" s="306"/>
      <c r="L72" s="306"/>
      <c r="M72" s="306"/>
      <c r="N72" s="306"/>
    </row>
    <row r="73" spans="1:15" ht="22.5" thickTop="1" thickBot="1" x14ac:dyDescent="0.3">
      <c r="B73" s="111"/>
      <c r="C73" s="307">
        <f>C$7</f>
        <v>2020</v>
      </c>
      <c r="D73" s="308"/>
      <c r="E73" s="307">
        <f>E$7</f>
        <v>2021</v>
      </c>
      <c r="F73" s="308"/>
      <c r="G73" s="307">
        <f>G$7</f>
        <v>2022</v>
      </c>
      <c r="H73" s="308"/>
      <c r="I73" s="307">
        <f>I$7</f>
        <v>2023</v>
      </c>
      <c r="J73" s="308"/>
      <c r="K73" s="307">
        <f>K$7</f>
        <v>2024</v>
      </c>
      <c r="L73" s="308"/>
      <c r="M73" s="307">
        <f>M$7</f>
        <v>2025</v>
      </c>
      <c r="N73" s="308"/>
    </row>
    <row r="74" spans="1:15" ht="16.5" thickTop="1" thickBot="1" x14ac:dyDescent="0.3">
      <c r="B74" s="87"/>
      <c r="C74" s="116" t="s">
        <v>72</v>
      </c>
      <c r="D74" s="117" t="str">
        <f>CONCATENATE("var ",RIGHT(C73,2),"/",RIGHT(C73-1,2))</f>
        <v>var 20/19</v>
      </c>
      <c r="E74" s="118" t="s">
        <v>72</v>
      </c>
      <c r="F74" s="117" t="str">
        <f>CONCATENATE("var ",RIGHT(E73,2),"/",RIGHT(E73-1,2))</f>
        <v>var 21/20</v>
      </c>
      <c r="G74" s="118" t="s">
        <v>72</v>
      </c>
      <c r="H74" s="117" t="str">
        <f>CONCATENATE("var ",RIGHT(G73,2),"/",RIGHT(G73-1,2))</f>
        <v>var 22/21</v>
      </c>
      <c r="I74" s="118" t="s">
        <v>72</v>
      </c>
      <c r="J74" s="117" t="str">
        <f>CONCATENATE("var ",RIGHT(I73,2),"/",RIGHT(I73-1,2))</f>
        <v>var 23/22</v>
      </c>
      <c r="K74" s="118" t="s">
        <v>72</v>
      </c>
      <c r="L74" s="117" t="str">
        <f>CONCATENATE("var ",RIGHT(K73,2),"/",RIGHT(K73-1,2))</f>
        <v>var 24/23</v>
      </c>
      <c r="M74" s="118" t="s">
        <v>72</v>
      </c>
      <c r="N74" s="117" t="str">
        <f>CONCATENATE("var ",RIGHT(M73,2),"/",RIGHT(M73-1,2))</f>
        <v>var 25/24</v>
      </c>
    </row>
    <row r="75" spans="1:15" x14ac:dyDescent="0.25">
      <c r="A75" s="1">
        <v>1</v>
      </c>
      <c r="B75" s="119" t="s">
        <v>74</v>
      </c>
      <c r="C75" s="120">
        <v>1922</v>
      </c>
      <c r="D75" s="121">
        <v>0.88801571709233795</v>
      </c>
      <c r="E75" s="120">
        <v>1580</v>
      </c>
      <c r="F75" s="121">
        <f>IFERROR(E75/C75-1,"-")</f>
        <v>-0.17793964620187308</v>
      </c>
      <c r="G75" s="120">
        <v>1546</v>
      </c>
      <c r="H75" s="121">
        <f>IFERROR(G75/E75-1,"-")</f>
        <v>-2.1518987341772156E-2</v>
      </c>
      <c r="I75" s="120">
        <v>1425</v>
      </c>
      <c r="J75" s="121">
        <f>IFERROR(I75/G75-1,"-")</f>
        <v>-7.826649417852527E-2</v>
      </c>
      <c r="K75" s="120">
        <v>1161</v>
      </c>
      <c r="L75" s="121">
        <f>IFERROR(K75/I75-1,"-")</f>
        <v>-0.1852631578947368</v>
      </c>
      <c r="M75" s="120">
        <v>1783</v>
      </c>
      <c r="N75" s="121">
        <f t="shared" ref="N75:N86" si="7">IFERROR(M75/K75-1,"-")</f>
        <v>0.53574504737295436</v>
      </c>
    </row>
    <row r="76" spans="1:15" x14ac:dyDescent="0.25">
      <c r="A76" s="1">
        <v>2</v>
      </c>
      <c r="B76" s="119" t="s">
        <v>76</v>
      </c>
      <c r="C76" s="120">
        <v>2293</v>
      </c>
      <c r="D76" s="121">
        <v>0.25575027382256299</v>
      </c>
      <c r="E76" s="120">
        <v>2279</v>
      </c>
      <c r="F76" s="121">
        <f t="shared" ref="F76:L87" si="8">IFERROR(E76/C76-1,"-")</f>
        <v>-6.1055385957261565E-3</v>
      </c>
      <c r="G76" s="120">
        <v>2491</v>
      </c>
      <c r="H76" s="121">
        <f t="shared" si="8"/>
        <v>9.3023255813953432E-2</v>
      </c>
      <c r="I76" s="120">
        <v>1394</v>
      </c>
      <c r="J76" s="121">
        <f t="shared" si="8"/>
        <v>-0.44038538739462063</v>
      </c>
      <c r="K76" s="120">
        <v>1755</v>
      </c>
      <c r="L76" s="121">
        <f t="shared" si="8"/>
        <v>0.25896700143472029</v>
      </c>
      <c r="M76" s="120">
        <v>2075</v>
      </c>
      <c r="N76" s="121">
        <f t="shared" si="7"/>
        <v>0.18233618233618243</v>
      </c>
    </row>
    <row r="77" spans="1:15" x14ac:dyDescent="0.25">
      <c r="A77" s="1">
        <v>3</v>
      </c>
      <c r="B77" s="119" t="s">
        <v>78</v>
      </c>
      <c r="C77" s="120">
        <v>864</v>
      </c>
      <c r="D77" s="121">
        <v>-0.63939899833055092</v>
      </c>
      <c r="E77" s="120">
        <v>3411</v>
      </c>
      <c r="F77" s="121">
        <f t="shared" si="8"/>
        <v>2.9479166666666665</v>
      </c>
      <c r="G77" s="120">
        <v>2421</v>
      </c>
      <c r="H77" s="121">
        <f t="shared" si="8"/>
        <v>-0.29023746701846964</v>
      </c>
      <c r="I77" s="120">
        <v>2041</v>
      </c>
      <c r="J77" s="121">
        <f t="shared" si="8"/>
        <v>-0.15695993391160679</v>
      </c>
      <c r="K77" s="120">
        <v>3915</v>
      </c>
      <c r="L77" s="121">
        <f t="shared" si="8"/>
        <v>0.9181773640372366</v>
      </c>
      <c r="M77" s="120">
        <v>1959</v>
      </c>
      <c r="N77" s="121">
        <f t="shared" si="7"/>
        <v>-0.49961685823754787</v>
      </c>
    </row>
    <row r="78" spans="1:15" x14ac:dyDescent="0.25">
      <c r="A78" s="1">
        <v>4</v>
      </c>
      <c r="B78" s="119" t="s">
        <v>80</v>
      </c>
      <c r="C78" s="120">
        <v>0</v>
      </c>
      <c r="D78" s="121">
        <v>-1</v>
      </c>
      <c r="E78" s="120">
        <v>4608</v>
      </c>
      <c r="F78" s="121" t="str">
        <f t="shared" si="8"/>
        <v>-</v>
      </c>
      <c r="G78" s="120">
        <v>5124</v>
      </c>
      <c r="H78" s="121">
        <f t="shared" si="8"/>
        <v>0.11197916666666674</v>
      </c>
      <c r="I78" s="120">
        <v>5699</v>
      </c>
      <c r="J78" s="121">
        <f t="shared" si="8"/>
        <v>0.11221701795472283</v>
      </c>
      <c r="K78" s="120">
        <v>3939</v>
      </c>
      <c r="L78" s="121">
        <f t="shared" si="8"/>
        <v>-0.3088261098438323</v>
      </c>
      <c r="M78" s="120">
        <v>6175</v>
      </c>
      <c r="N78" s="121">
        <f t="shared" si="7"/>
        <v>0.56765676567656764</v>
      </c>
    </row>
    <row r="79" spans="1:15" x14ac:dyDescent="0.25">
      <c r="A79" s="1">
        <v>5</v>
      </c>
      <c r="B79" s="119" t="s">
        <v>82</v>
      </c>
      <c r="C79" s="120">
        <v>0</v>
      </c>
      <c r="D79" s="121">
        <v>-1</v>
      </c>
      <c r="E79" s="120">
        <v>4530</v>
      </c>
      <c r="F79" s="121" t="str">
        <f t="shared" si="8"/>
        <v>-</v>
      </c>
      <c r="G79" s="120">
        <v>4779</v>
      </c>
      <c r="H79" s="121">
        <f t="shared" si="8"/>
        <v>5.4966887417218446E-2</v>
      </c>
      <c r="I79" s="120">
        <v>3887</v>
      </c>
      <c r="J79" s="121">
        <f t="shared" si="8"/>
        <v>-0.18664992676292114</v>
      </c>
      <c r="K79" s="120">
        <v>4139</v>
      </c>
      <c r="L79" s="121">
        <f t="shared" si="8"/>
        <v>6.4831489580653434E-2</v>
      </c>
      <c r="M79" s="120">
        <v>3706</v>
      </c>
      <c r="N79" s="121">
        <f t="shared" si="7"/>
        <v>-0.10461464121768538</v>
      </c>
    </row>
    <row r="80" spans="1:15" x14ac:dyDescent="0.25">
      <c r="A80" s="1">
        <v>6</v>
      </c>
      <c r="B80" s="119" t="s">
        <v>84</v>
      </c>
      <c r="C80" s="120">
        <v>0</v>
      </c>
      <c r="D80" s="121">
        <v>-1</v>
      </c>
      <c r="E80" s="120">
        <v>4397</v>
      </c>
      <c r="F80" s="121" t="str">
        <f t="shared" si="8"/>
        <v>-</v>
      </c>
      <c r="G80" s="120">
        <v>4614</v>
      </c>
      <c r="H80" s="121">
        <f t="shared" si="8"/>
        <v>4.9351830793723073E-2</v>
      </c>
      <c r="I80" s="120">
        <v>5607</v>
      </c>
      <c r="J80" s="121">
        <f t="shared" si="8"/>
        <v>0.21521456436931086</v>
      </c>
      <c r="K80" s="120">
        <v>5107</v>
      </c>
      <c r="L80" s="121">
        <f t="shared" si="8"/>
        <v>-8.9174246477617292E-2</v>
      </c>
      <c r="M80" s="120">
        <v>4663</v>
      </c>
      <c r="N80" s="121">
        <f t="shared" si="7"/>
        <v>-8.6939494811043683E-2</v>
      </c>
    </row>
    <row r="81" spans="1:15" x14ac:dyDescent="0.25">
      <c r="A81" s="1">
        <v>7</v>
      </c>
      <c r="B81" s="119" t="s">
        <v>86</v>
      </c>
      <c r="C81" s="120">
        <v>0</v>
      </c>
      <c r="D81" s="121">
        <v>-1</v>
      </c>
      <c r="E81" s="120">
        <v>7964</v>
      </c>
      <c r="F81" s="121" t="str">
        <f t="shared" si="8"/>
        <v>-</v>
      </c>
      <c r="G81" s="120">
        <v>8149</v>
      </c>
      <c r="H81" s="121">
        <f t="shared" si="8"/>
        <v>2.3229532898041194E-2</v>
      </c>
      <c r="I81" s="120">
        <v>7578</v>
      </c>
      <c r="J81" s="121">
        <f t="shared" si="8"/>
        <v>-7.0069947232789254E-2</v>
      </c>
      <c r="K81" s="120">
        <v>6983</v>
      </c>
      <c r="L81" s="121">
        <f t="shared" si="8"/>
        <v>-7.8516759039324313E-2</v>
      </c>
      <c r="M81" s="120">
        <v>6163</v>
      </c>
      <c r="N81" s="121">
        <f t="shared" si="7"/>
        <v>-0.1174280395245596</v>
      </c>
    </row>
    <row r="82" spans="1:15" x14ac:dyDescent="0.25">
      <c r="A82" s="1">
        <v>8</v>
      </c>
      <c r="B82" s="119" t="s">
        <v>88</v>
      </c>
      <c r="C82" s="120">
        <v>6964</v>
      </c>
      <c r="D82" s="121">
        <v>-0.27616671863631637</v>
      </c>
      <c r="E82" s="120">
        <v>4262</v>
      </c>
      <c r="F82" s="121">
        <f t="shared" si="8"/>
        <v>-0.38799540493968987</v>
      </c>
      <c r="G82" s="120">
        <v>8353</v>
      </c>
      <c r="H82" s="121">
        <f t="shared" si="8"/>
        <v>0.95987799155326137</v>
      </c>
      <c r="I82" s="120">
        <v>10458</v>
      </c>
      <c r="J82" s="121">
        <f t="shared" si="8"/>
        <v>0.25200526756853825</v>
      </c>
      <c r="K82" s="120">
        <v>9751</v>
      </c>
      <c r="L82" s="121">
        <f t="shared" si="8"/>
        <v>-6.7603748326639845E-2</v>
      </c>
      <c r="M82" s="120">
        <v>8770</v>
      </c>
      <c r="N82" s="121">
        <f t="shared" si="7"/>
        <v>-0.10060506614706188</v>
      </c>
    </row>
    <row r="83" spans="1:15" x14ac:dyDescent="0.25">
      <c r="A83" s="1">
        <v>9</v>
      </c>
      <c r="B83" s="119" t="s">
        <v>90</v>
      </c>
      <c r="C83" s="120">
        <v>4100</v>
      </c>
      <c r="D83" s="121">
        <v>0.35402906208718621</v>
      </c>
      <c r="E83" s="120">
        <v>2824</v>
      </c>
      <c r="F83" s="121">
        <f t="shared" si="8"/>
        <v>-0.31121951219512201</v>
      </c>
      <c r="G83" s="120">
        <v>3964</v>
      </c>
      <c r="H83" s="121">
        <f t="shared" si="8"/>
        <v>0.40368271954674229</v>
      </c>
      <c r="I83" s="120">
        <v>4631</v>
      </c>
      <c r="J83" s="121">
        <f t="shared" si="8"/>
        <v>0.16826437941473249</v>
      </c>
      <c r="K83" s="120">
        <v>4675</v>
      </c>
      <c r="L83" s="121">
        <f t="shared" si="8"/>
        <v>9.5011876484560887E-3</v>
      </c>
      <c r="M83" s="120">
        <v>5969</v>
      </c>
      <c r="N83" s="121">
        <f t="shared" si="7"/>
        <v>0.27679144385026744</v>
      </c>
    </row>
    <row r="84" spans="1:15" x14ac:dyDescent="0.25">
      <c r="A84" s="1">
        <v>10</v>
      </c>
      <c r="B84" s="119" t="s">
        <v>92</v>
      </c>
      <c r="C84" s="120">
        <v>4409</v>
      </c>
      <c r="D84" s="121">
        <v>-5.0398449278483692E-2</v>
      </c>
      <c r="E84" s="120">
        <v>2857</v>
      </c>
      <c r="F84" s="121">
        <f t="shared" si="8"/>
        <v>-0.35200725788160581</v>
      </c>
      <c r="G84" s="120">
        <v>3029</v>
      </c>
      <c r="H84" s="121">
        <f t="shared" si="8"/>
        <v>6.0203010150507552E-2</v>
      </c>
      <c r="I84" s="120">
        <v>4345</v>
      </c>
      <c r="J84" s="121">
        <f t="shared" si="8"/>
        <v>0.4344668207329152</v>
      </c>
      <c r="K84" s="120">
        <v>4003</v>
      </c>
      <c r="L84" s="121">
        <f t="shared" si="8"/>
        <v>-7.8711162255466038E-2</v>
      </c>
      <c r="M84" s="120">
        <v>4792</v>
      </c>
      <c r="N84" s="121">
        <f t="shared" si="7"/>
        <v>0.19710217336997249</v>
      </c>
    </row>
    <row r="85" spans="1:15" x14ac:dyDescent="0.25">
      <c r="A85" s="1">
        <v>11</v>
      </c>
      <c r="B85" s="119" t="s">
        <v>94</v>
      </c>
      <c r="C85" s="120">
        <v>1437</v>
      </c>
      <c r="D85" s="121">
        <v>-0.49150743099787686</v>
      </c>
      <c r="E85" s="120">
        <v>2119</v>
      </c>
      <c r="F85" s="121">
        <f t="shared" si="8"/>
        <v>0.47459986082115524</v>
      </c>
      <c r="G85" s="120">
        <v>1650</v>
      </c>
      <c r="H85" s="121">
        <f t="shared" si="8"/>
        <v>-0.22133081642284091</v>
      </c>
      <c r="I85" s="120">
        <v>2742</v>
      </c>
      <c r="J85" s="121">
        <f t="shared" si="8"/>
        <v>0.66181818181818186</v>
      </c>
      <c r="K85" s="120">
        <v>2054</v>
      </c>
      <c r="L85" s="121">
        <f t="shared" si="8"/>
        <v>-0.25091174325309995</v>
      </c>
      <c r="M85" s="120">
        <v>2135</v>
      </c>
      <c r="N85" s="121">
        <f t="shared" si="7"/>
        <v>3.9435248296007863E-2</v>
      </c>
    </row>
    <row r="86" spans="1:15" x14ac:dyDescent="0.25">
      <c r="A86" s="1">
        <v>12</v>
      </c>
      <c r="B86" s="119" t="s">
        <v>96</v>
      </c>
      <c r="C86" s="120">
        <v>1300</v>
      </c>
      <c r="D86" s="121">
        <v>-0.56287827841291183</v>
      </c>
      <c r="E86" s="120">
        <v>2651</v>
      </c>
      <c r="F86" s="121">
        <f t="shared" si="8"/>
        <v>1.0392307692307692</v>
      </c>
      <c r="G86" s="120">
        <v>1974</v>
      </c>
      <c r="H86" s="121">
        <f t="shared" si="8"/>
        <v>-0.25537533006412672</v>
      </c>
      <c r="I86" s="120">
        <v>2803</v>
      </c>
      <c r="J86" s="121">
        <f t="shared" si="8"/>
        <v>0.4199594731509626</v>
      </c>
      <c r="K86" s="120">
        <v>2740</v>
      </c>
      <c r="L86" s="121">
        <f t="shared" si="8"/>
        <v>-2.2475918658580119E-2</v>
      </c>
      <c r="M86" s="120">
        <v>3218</v>
      </c>
      <c r="N86" s="121">
        <f t="shared" si="7"/>
        <v>0.17445255474452548</v>
      </c>
    </row>
    <row r="87" spans="1:15" ht="15.75" x14ac:dyDescent="0.25">
      <c r="B87" s="122" t="s">
        <v>33</v>
      </c>
      <c r="C87" s="123">
        <v>24912</v>
      </c>
      <c r="D87" s="124">
        <v>-0.51465087281795507</v>
      </c>
      <c r="E87" s="123">
        <v>43482</v>
      </c>
      <c r="F87" s="124">
        <f t="shared" si="8"/>
        <v>0.74542389210019278</v>
      </c>
      <c r="G87" s="123">
        <v>48094</v>
      </c>
      <c r="H87" s="124">
        <f t="shared" si="8"/>
        <v>0.10606687824847061</v>
      </c>
      <c r="I87" s="123">
        <v>52610</v>
      </c>
      <c r="J87" s="124">
        <f t="shared" si="8"/>
        <v>9.3899446916455354E-2</v>
      </c>
      <c r="K87" s="123">
        <v>50222</v>
      </c>
      <c r="L87" s="124">
        <f t="shared" si="8"/>
        <v>-4.5390610150161548E-2</v>
      </c>
      <c r="M87" s="123">
        <v>51408</v>
      </c>
      <c r="N87" s="124">
        <v>2.3615148739596137E-2</v>
      </c>
    </row>
    <row r="88" spans="1:15" ht="6" customHeight="1" x14ac:dyDescent="0.25"/>
    <row r="89" spans="1:15" x14ac:dyDescent="0.25">
      <c r="B89" s="107" t="s">
        <v>58</v>
      </c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</row>
    <row r="90" spans="1:15" x14ac:dyDescent="0.25">
      <c r="C90" s="125"/>
    </row>
    <row r="92" spans="1:15" ht="48.75" customHeight="1" thickBot="1" x14ac:dyDescent="0.3">
      <c r="B92" s="283" t="s">
        <v>245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1" t="s">
        <v>107</v>
      </c>
    </row>
    <row r="93" spans="1:15" ht="10.5" customHeight="1" thickBot="1" x14ac:dyDescent="0.3">
      <c r="B93" s="108"/>
      <c r="C93" s="109"/>
      <c r="D93" s="108"/>
      <c r="E93" s="108"/>
      <c r="F93" s="108"/>
      <c r="G93" s="108"/>
      <c r="H93" s="108"/>
      <c r="I93" s="108"/>
      <c r="J93" s="108"/>
      <c r="K93" s="108"/>
      <c r="L93" s="108"/>
      <c r="M93" s="4"/>
      <c r="N93" s="4"/>
      <c r="O93" s="1" t="s">
        <v>108</v>
      </c>
    </row>
    <row r="94" spans="1:15" ht="22.5" thickTop="1" thickBot="1" x14ac:dyDescent="0.3">
      <c r="B94" s="126" t="s">
        <v>109</v>
      </c>
      <c r="C94" s="305" t="s">
        <v>110</v>
      </c>
      <c r="D94" s="306"/>
      <c r="E94" s="306"/>
      <c r="F94" s="306"/>
      <c r="G94" s="306"/>
      <c r="H94" s="306"/>
      <c r="I94" s="306"/>
      <c r="J94" s="306"/>
      <c r="K94" s="306"/>
      <c r="L94" s="306"/>
      <c r="M94" s="306"/>
      <c r="N94" s="306"/>
    </row>
    <row r="95" spans="1:15" ht="22.5" thickTop="1" thickBot="1" x14ac:dyDescent="0.3">
      <c r="B95" s="111"/>
      <c r="C95" s="307">
        <f>C$7</f>
        <v>2020</v>
      </c>
      <c r="D95" s="308"/>
      <c r="E95" s="307">
        <f>E$7</f>
        <v>2021</v>
      </c>
      <c r="F95" s="308"/>
      <c r="G95" s="307">
        <f>G$7</f>
        <v>2022</v>
      </c>
      <c r="H95" s="308"/>
      <c r="I95" s="307">
        <f>I$7</f>
        <v>2023</v>
      </c>
      <c r="J95" s="308"/>
      <c r="K95" s="307">
        <f>K$7</f>
        <v>2024</v>
      </c>
      <c r="L95" s="308"/>
      <c r="M95" s="307">
        <f>M$7</f>
        <v>2025</v>
      </c>
      <c r="N95" s="308"/>
    </row>
    <row r="96" spans="1:15" ht="16.5" thickTop="1" thickBot="1" x14ac:dyDescent="0.3">
      <c r="B96" s="87"/>
      <c r="C96" s="116" t="s">
        <v>72</v>
      </c>
      <c r="D96" s="117" t="str">
        <f>CONCATENATE("var ",RIGHT(C95,2),"/",RIGHT(C95-1,2))</f>
        <v>var 20/19</v>
      </c>
      <c r="E96" s="118" t="s">
        <v>72</v>
      </c>
      <c r="F96" s="117" t="str">
        <f>CONCATENATE("var ",RIGHT(E95,2),"/",RIGHT(E95-1,2))</f>
        <v>var 21/20</v>
      </c>
      <c r="G96" s="118" t="s">
        <v>72</v>
      </c>
      <c r="H96" s="117" t="str">
        <f>CONCATENATE("var ",RIGHT(G95,2),"/",RIGHT(G95-1,2))</f>
        <v>var 22/21</v>
      </c>
      <c r="I96" s="118" t="s">
        <v>72</v>
      </c>
      <c r="J96" s="117" t="str">
        <f>CONCATENATE("var ",RIGHT(I95,2),"/",RIGHT(I95-1,2))</f>
        <v>var 23/22</v>
      </c>
      <c r="K96" s="118" t="s">
        <v>72</v>
      </c>
      <c r="L96" s="117" t="str">
        <f>CONCATENATE("var ",RIGHT(K95,2),"/",RIGHT(K95-1,2))</f>
        <v>var 24/23</v>
      </c>
      <c r="M96" s="118" t="s">
        <v>72</v>
      </c>
      <c r="N96" s="117" t="str">
        <f>CONCATENATE("var ",RIGHT(M95,2),"/",RIGHT(M95-1,2))</f>
        <v>var 25/24</v>
      </c>
    </row>
    <row r="97" spans="2:14" x14ac:dyDescent="0.25">
      <c r="B97" s="119" t="s">
        <v>74</v>
      </c>
      <c r="C97" s="120">
        <v>97195</v>
      </c>
      <c r="D97" s="121">
        <v>1.9483330927982934E-3</v>
      </c>
      <c r="E97" s="120">
        <v>6135</v>
      </c>
      <c r="F97" s="121">
        <f t="shared" ref="F97:L109" si="9">IFERROR(E97/C97-1,"-")</f>
        <v>-0.93687946910849318</v>
      </c>
      <c r="G97" s="120">
        <v>68843</v>
      </c>
      <c r="H97" s="121">
        <f t="shared" si="9"/>
        <v>10.221352893235533</v>
      </c>
      <c r="I97" s="120">
        <v>96437</v>
      </c>
      <c r="J97" s="121">
        <f t="shared" si="9"/>
        <v>0.40082506572926802</v>
      </c>
      <c r="K97" s="120">
        <v>97758</v>
      </c>
      <c r="L97" s="121">
        <f t="shared" si="9"/>
        <v>1.3698061947178042E-2</v>
      </c>
      <c r="M97" s="120">
        <v>103238</v>
      </c>
      <c r="N97" s="121">
        <f t="shared" ref="N97:N108" si="10">IFERROR(M97/K97-1,"-")</f>
        <v>5.6056793305918617E-2</v>
      </c>
    </row>
    <row r="98" spans="2:14" x14ac:dyDescent="0.25">
      <c r="B98" s="119" t="s">
        <v>76</v>
      </c>
      <c r="C98" s="120">
        <v>99065</v>
      </c>
      <c r="D98" s="121">
        <v>5.6817333233766032E-2</v>
      </c>
      <c r="E98" s="120">
        <v>7130</v>
      </c>
      <c r="F98" s="121">
        <f t="shared" si="9"/>
        <v>-0.92802705294503607</v>
      </c>
      <c r="G98" s="120">
        <v>82164</v>
      </c>
      <c r="H98" s="121">
        <f t="shared" si="9"/>
        <v>10.523702664796634</v>
      </c>
      <c r="I98" s="120">
        <v>97949</v>
      </c>
      <c r="J98" s="121">
        <f t="shared" si="9"/>
        <v>0.19211576846307388</v>
      </c>
      <c r="K98" s="120">
        <v>107315</v>
      </c>
      <c r="L98" s="121">
        <f t="shared" si="9"/>
        <v>9.5621190619608054E-2</v>
      </c>
      <c r="M98" s="120">
        <v>109374</v>
      </c>
      <c r="N98" s="121">
        <f t="shared" si="10"/>
        <v>1.9186507012067366E-2</v>
      </c>
    </row>
    <row r="99" spans="2:14" x14ac:dyDescent="0.25">
      <c r="B99" s="119" t="s">
        <v>78</v>
      </c>
      <c r="C99" s="120">
        <v>39064</v>
      </c>
      <c r="D99" s="121">
        <v>-0.65106785883361762</v>
      </c>
      <c r="E99" s="120">
        <v>8658</v>
      </c>
      <c r="F99" s="121">
        <f t="shared" si="9"/>
        <v>-0.77836371083350397</v>
      </c>
      <c r="G99" s="120">
        <v>98983</v>
      </c>
      <c r="H99" s="121">
        <f t="shared" si="9"/>
        <v>10.432547932547932</v>
      </c>
      <c r="I99" s="120">
        <v>108044</v>
      </c>
      <c r="J99" s="121">
        <f t="shared" si="9"/>
        <v>9.1540971682005923E-2</v>
      </c>
      <c r="K99" s="120">
        <v>114208</v>
      </c>
      <c r="L99" s="121">
        <f t="shared" si="9"/>
        <v>5.7050831142867686E-2</v>
      </c>
      <c r="M99" s="120">
        <v>117520</v>
      </c>
      <c r="N99" s="121">
        <f t="shared" si="10"/>
        <v>2.899971980947047E-2</v>
      </c>
    </row>
    <row r="100" spans="2:14" x14ac:dyDescent="0.25">
      <c r="B100" s="119" t="s">
        <v>80</v>
      </c>
      <c r="C100" s="120">
        <v>0</v>
      </c>
      <c r="D100" s="121">
        <v>-1</v>
      </c>
      <c r="E100" s="120">
        <v>8340</v>
      </c>
      <c r="F100" s="121" t="str">
        <f t="shared" si="9"/>
        <v>-</v>
      </c>
      <c r="G100" s="120">
        <v>97469</v>
      </c>
      <c r="H100" s="121">
        <f t="shared" si="9"/>
        <v>10.686930455635492</v>
      </c>
      <c r="I100" s="120">
        <v>100188</v>
      </c>
      <c r="J100" s="121">
        <f t="shared" si="9"/>
        <v>2.7896049000194933E-2</v>
      </c>
      <c r="K100" s="120">
        <v>105296</v>
      </c>
      <c r="L100" s="121">
        <f t="shared" si="9"/>
        <v>5.0984149798378953E-2</v>
      </c>
      <c r="M100" s="120">
        <v>102791</v>
      </c>
      <c r="N100" s="121">
        <f t="shared" si="10"/>
        <v>-2.3790077495821293E-2</v>
      </c>
    </row>
    <row r="101" spans="2:14" x14ac:dyDescent="0.25">
      <c r="B101" s="119" t="s">
        <v>82</v>
      </c>
      <c r="C101" s="120">
        <v>0</v>
      </c>
      <c r="D101" s="121">
        <v>-1</v>
      </c>
      <c r="E101" s="120">
        <v>9735</v>
      </c>
      <c r="F101" s="121" t="str">
        <f t="shared" si="9"/>
        <v>-</v>
      </c>
      <c r="G101" s="120">
        <v>87150</v>
      </c>
      <c r="H101" s="121">
        <f t="shared" si="9"/>
        <v>7.9522342064714948</v>
      </c>
      <c r="I101" s="120">
        <v>88589</v>
      </c>
      <c r="J101" s="121">
        <f t="shared" si="9"/>
        <v>1.6511761331038377E-2</v>
      </c>
      <c r="K101" s="120">
        <v>101026</v>
      </c>
      <c r="L101" s="121">
        <f t="shared" si="9"/>
        <v>0.14038989039271232</v>
      </c>
      <c r="M101" s="120">
        <v>107151</v>
      </c>
      <c r="N101" s="121">
        <f t="shared" si="10"/>
        <v>6.0627957159543167E-2</v>
      </c>
    </row>
    <row r="102" spans="2:14" x14ac:dyDescent="0.25">
      <c r="B102" s="119" t="s">
        <v>84</v>
      </c>
      <c r="C102" s="120">
        <v>0</v>
      </c>
      <c r="D102" s="121">
        <v>-1</v>
      </c>
      <c r="E102" s="120">
        <v>14624</v>
      </c>
      <c r="F102" s="121" t="str">
        <f t="shared" si="9"/>
        <v>-</v>
      </c>
      <c r="G102" s="120">
        <v>87225</v>
      </c>
      <c r="H102" s="121">
        <f t="shared" si="9"/>
        <v>4.964510393873085</v>
      </c>
      <c r="I102" s="120">
        <v>97481</v>
      </c>
      <c r="J102" s="121">
        <f t="shared" si="9"/>
        <v>0.11758096875895663</v>
      </c>
      <c r="K102" s="120">
        <v>102726</v>
      </c>
      <c r="L102" s="121">
        <f t="shared" si="9"/>
        <v>5.3805356941352578E-2</v>
      </c>
      <c r="M102" s="120">
        <v>106493</v>
      </c>
      <c r="N102" s="121">
        <f t="shared" si="10"/>
        <v>3.6670365827541129E-2</v>
      </c>
    </row>
    <row r="103" spans="2:14" x14ac:dyDescent="0.25">
      <c r="B103" s="119" t="s">
        <v>86</v>
      </c>
      <c r="C103" s="120">
        <v>0</v>
      </c>
      <c r="D103" s="121">
        <v>-1</v>
      </c>
      <c r="E103" s="120">
        <v>27677</v>
      </c>
      <c r="F103" s="121" t="str">
        <f t="shared" si="9"/>
        <v>-</v>
      </c>
      <c r="G103" s="120">
        <v>101111</v>
      </c>
      <c r="H103" s="121">
        <f t="shared" si="9"/>
        <v>2.6532499909672289</v>
      </c>
      <c r="I103" s="120">
        <v>98217</v>
      </c>
      <c r="J103" s="121">
        <f t="shared" si="9"/>
        <v>-2.8622009474735699E-2</v>
      </c>
      <c r="K103" s="120">
        <v>106566</v>
      </c>
      <c r="L103" s="121">
        <f t="shared" si="9"/>
        <v>8.5005650752924655E-2</v>
      </c>
      <c r="M103" s="120">
        <v>112286</v>
      </c>
      <c r="N103" s="121">
        <f t="shared" si="10"/>
        <v>5.3675656400728133E-2</v>
      </c>
    </row>
    <row r="104" spans="2:14" x14ac:dyDescent="0.25">
      <c r="B104" s="119" t="s">
        <v>88</v>
      </c>
      <c r="C104" s="120">
        <v>17639</v>
      </c>
      <c r="D104" s="121">
        <v>-0.82059418830541397</v>
      </c>
      <c r="E104" s="120">
        <v>40505</v>
      </c>
      <c r="F104" s="121">
        <f t="shared" si="9"/>
        <v>1.2963319916095015</v>
      </c>
      <c r="G104" s="120">
        <v>98334</v>
      </c>
      <c r="H104" s="121">
        <f t="shared" si="9"/>
        <v>1.4277002839155659</v>
      </c>
      <c r="I104" s="120">
        <v>96847</v>
      </c>
      <c r="J104" s="121">
        <f t="shared" si="9"/>
        <v>-1.5121931376736453E-2</v>
      </c>
      <c r="K104" s="120">
        <v>106980</v>
      </c>
      <c r="L104" s="121">
        <f t="shared" si="9"/>
        <v>0.10462895081933365</v>
      </c>
      <c r="M104" s="120">
        <v>105931</v>
      </c>
      <c r="N104" s="121">
        <f t="shared" si="10"/>
        <v>-9.8055711347915242E-3</v>
      </c>
    </row>
    <row r="105" spans="2:14" x14ac:dyDescent="0.25">
      <c r="B105" s="119" t="s">
        <v>90</v>
      </c>
      <c r="C105" s="120">
        <v>11102</v>
      </c>
      <c r="D105" s="121">
        <v>-0.87661839721719026</v>
      </c>
      <c r="E105" s="120">
        <v>50427</v>
      </c>
      <c r="F105" s="121">
        <f t="shared" si="9"/>
        <v>3.5421545667447303</v>
      </c>
      <c r="G105" s="120">
        <v>92289</v>
      </c>
      <c r="H105" s="121">
        <f t="shared" si="9"/>
        <v>0.83015051460527101</v>
      </c>
      <c r="I105" s="120">
        <v>96569</v>
      </c>
      <c r="J105" s="121">
        <f t="shared" si="9"/>
        <v>4.6376057818374949E-2</v>
      </c>
      <c r="K105" s="120">
        <v>100393</v>
      </c>
      <c r="L105" s="121">
        <f t="shared" si="9"/>
        <v>3.9598628959603976E-2</v>
      </c>
      <c r="M105" s="120">
        <v>103689</v>
      </c>
      <c r="N105" s="121">
        <f t="shared" si="10"/>
        <v>3.2830974271114588E-2</v>
      </c>
    </row>
    <row r="106" spans="2:14" x14ac:dyDescent="0.25">
      <c r="B106" s="119" t="s">
        <v>92</v>
      </c>
      <c r="C106" s="120">
        <v>13903</v>
      </c>
      <c r="D106" s="121">
        <v>-0.85980215192553977</v>
      </c>
      <c r="E106" s="120">
        <v>81857</v>
      </c>
      <c r="F106" s="121">
        <f t="shared" si="9"/>
        <v>4.8877220743724372</v>
      </c>
      <c r="G106" s="120">
        <v>103661</v>
      </c>
      <c r="H106" s="121">
        <f t="shared" si="9"/>
        <v>0.26636695701039614</v>
      </c>
      <c r="I106" s="120">
        <v>109428</v>
      </c>
      <c r="J106" s="121">
        <f t="shared" si="9"/>
        <v>5.56332661270873E-2</v>
      </c>
      <c r="K106" s="120">
        <v>115247</v>
      </c>
      <c r="L106" s="121">
        <f t="shared" si="9"/>
        <v>5.3176517893043895E-2</v>
      </c>
      <c r="M106" s="120">
        <v>119830</v>
      </c>
      <c r="N106" s="121">
        <f t="shared" si="10"/>
        <v>3.9766761824602703E-2</v>
      </c>
    </row>
    <row r="107" spans="2:14" x14ac:dyDescent="0.25">
      <c r="B107" s="119" t="s">
        <v>94</v>
      </c>
      <c r="C107" s="120">
        <v>13877</v>
      </c>
      <c r="D107" s="121">
        <v>-0.86086965239971525</v>
      </c>
      <c r="E107" s="120">
        <v>82390</v>
      </c>
      <c r="F107" s="121">
        <f t="shared" si="9"/>
        <v>4.93716221085249</v>
      </c>
      <c r="G107" s="120">
        <v>101461</v>
      </c>
      <c r="H107" s="121">
        <f t="shared" si="9"/>
        <v>0.23147226605170523</v>
      </c>
      <c r="I107" s="120">
        <v>106978</v>
      </c>
      <c r="J107" s="121">
        <f t="shared" si="9"/>
        <v>5.4375572880219991E-2</v>
      </c>
      <c r="K107" s="120">
        <v>107739</v>
      </c>
      <c r="L107" s="121">
        <f t="shared" si="9"/>
        <v>7.1136121445531941E-3</v>
      </c>
      <c r="M107" s="120">
        <v>111811</v>
      </c>
      <c r="N107" s="121">
        <f t="shared" si="10"/>
        <v>3.7795041721196521E-2</v>
      </c>
    </row>
    <row r="108" spans="2:14" x14ac:dyDescent="0.25">
      <c r="B108" s="119" t="s">
        <v>96</v>
      </c>
      <c r="C108" s="120">
        <v>15077</v>
      </c>
      <c r="D108" s="121">
        <v>-0.85058667300907764</v>
      </c>
      <c r="E108" s="120">
        <v>71312</v>
      </c>
      <c r="F108" s="121">
        <f t="shared" si="9"/>
        <v>3.7298534191152086</v>
      </c>
      <c r="G108" s="120">
        <v>100894</v>
      </c>
      <c r="H108" s="121">
        <f t="shared" si="9"/>
        <v>0.41482499439084597</v>
      </c>
      <c r="I108" s="120">
        <v>104162</v>
      </c>
      <c r="J108" s="121">
        <f t="shared" si="9"/>
        <v>3.2390429559735923E-2</v>
      </c>
      <c r="K108" s="120">
        <v>107909</v>
      </c>
      <c r="L108" s="121">
        <f t="shared" si="9"/>
        <v>3.5972811581958863E-2</v>
      </c>
      <c r="M108" s="120">
        <v>103178</v>
      </c>
      <c r="N108" s="121">
        <f t="shared" si="10"/>
        <v>-4.3842496918700014E-2</v>
      </c>
    </row>
    <row r="109" spans="2:14" ht="15.75" x14ac:dyDescent="0.25">
      <c r="B109" s="122" t="s">
        <v>33</v>
      </c>
      <c r="C109" s="123">
        <v>323585</v>
      </c>
      <c r="D109" s="124">
        <v>-0.72380743467009001</v>
      </c>
      <c r="E109" s="123">
        <v>408790</v>
      </c>
      <c r="F109" s="124">
        <f t="shared" si="9"/>
        <v>0.26331566667181727</v>
      </c>
      <c r="G109" s="123">
        <v>1119584</v>
      </c>
      <c r="H109" s="124">
        <f t="shared" si="9"/>
        <v>1.738775410357396</v>
      </c>
      <c r="I109" s="123">
        <v>1200889</v>
      </c>
      <c r="J109" s="124">
        <f t="shared" si="9"/>
        <v>7.262072341155279E-2</v>
      </c>
      <c r="K109" s="123">
        <v>1273163</v>
      </c>
      <c r="L109" s="124">
        <f t="shared" si="9"/>
        <v>6.0183747207277261E-2</v>
      </c>
      <c r="M109" s="123">
        <v>1303292</v>
      </c>
      <c r="N109" s="124">
        <v>2.3664683940705089E-2</v>
      </c>
    </row>
    <row r="110" spans="2:14" ht="6" customHeight="1" x14ac:dyDescent="0.25"/>
    <row r="111" spans="2:14" x14ac:dyDescent="0.25">
      <c r="B111" s="107" t="s">
        <v>58</v>
      </c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</row>
    <row r="112" spans="2:14" x14ac:dyDescent="0.25">
      <c r="C112" s="125"/>
    </row>
    <row r="114" spans="1:15" ht="48.75" customHeight="1" thickBot="1" x14ac:dyDescent="0.3">
      <c r="B114" s="283" t="s">
        <v>246</v>
      </c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1" t="s">
        <v>111</v>
      </c>
    </row>
    <row r="115" spans="1:15" ht="10.5" customHeight="1" thickBot="1" x14ac:dyDescent="0.3">
      <c r="B115" s="108"/>
      <c r="C115" s="109"/>
      <c r="D115" s="108"/>
      <c r="E115" s="108"/>
      <c r="F115" s="108"/>
      <c r="G115" s="108"/>
      <c r="H115" s="108"/>
      <c r="I115" s="108"/>
      <c r="J115" s="108"/>
      <c r="K115" s="108"/>
      <c r="L115" s="108"/>
      <c r="M115" s="4"/>
      <c r="N115" s="4"/>
      <c r="O115" s="1" t="s">
        <v>112</v>
      </c>
    </row>
    <row r="116" spans="1:15" ht="22.5" thickTop="1" thickBot="1" x14ac:dyDescent="0.3">
      <c r="B116" s="126" t="str">
        <f>C116</f>
        <v>Reino Unido</v>
      </c>
      <c r="C116" s="305" t="s">
        <v>113</v>
      </c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</row>
    <row r="117" spans="1:15" ht="22.5" thickTop="1" thickBot="1" x14ac:dyDescent="0.3">
      <c r="B117" s="111"/>
      <c r="C117" s="307">
        <f>C$7</f>
        <v>2020</v>
      </c>
      <c r="D117" s="308"/>
      <c r="E117" s="307">
        <f>E$7</f>
        <v>2021</v>
      </c>
      <c r="F117" s="308"/>
      <c r="G117" s="307">
        <f>G$7</f>
        <v>2022</v>
      </c>
      <c r="H117" s="308"/>
      <c r="I117" s="307">
        <f>I$7</f>
        <v>2023</v>
      </c>
      <c r="J117" s="308"/>
      <c r="K117" s="307">
        <f>K$7</f>
        <v>2024</v>
      </c>
      <c r="L117" s="308"/>
      <c r="M117" s="307">
        <f>M$7</f>
        <v>2025</v>
      </c>
      <c r="N117" s="308"/>
    </row>
    <row r="118" spans="1:15" ht="16.5" thickTop="1" thickBot="1" x14ac:dyDescent="0.3">
      <c r="B118" s="87"/>
      <c r="C118" s="116" t="s">
        <v>72</v>
      </c>
      <c r="D118" s="117" t="str">
        <f>CONCATENATE("var ",RIGHT(C117,2),"/",RIGHT(C117-1,2))</f>
        <v>var 20/19</v>
      </c>
      <c r="E118" s="118" t="s">
        <v>72</v>
      </c>
      <c r="F118" s="117" t="str">
        <f>CONCATENATE("var ",RIGHT(E117,2),"/",RIGHT(E117-1,2))</f>
        <v>var 21/20</v>
      </c>
      <c r="G118" s="118" t="s">
        <v>72</v>
      </c>
      <c r="H118" s="117" t="str">
        <f>CONCATENATE("var ",RIGHT(G117,2),"/",RIGHT(G117-1,2))</f>
        <v>var 22/21</v>
      </c>
      <c r="I118" s="118" t="s">
        <v>72</v>
      </c>
      <c r="J118" s="117" t="str">
        <f>CONCATENATE("var ",RIGHT(I117,2),"/",RIGHT(I117-1,2))</f>
        <v>var 23/22</v>
      </c>
      <c r="K118" s="118" t="s">
        <v>72</v>
      </c>
      <c r="L118" s="117" t="str">
        <f>CONCATENATE("var ",RIGHT(K117,2),"/",RIGHT(K117-1,2))</f>
        <v>var 24/23</v>
      </c>
      <c r="M118" s="118" t="s">
        <v>72</v>
      </c>
      <c r="N118" s="117" t="str">
        <f>CONCATENATE("var ",RIGHT(M117,2),"/",RIGHT(M117-1,2))</f>
        <v>var 25/24</v>
      </c>
    </row>
    <row r="119" spans="1:15" x14ac:dyDescent="0.25">
      <c r="B119" s="119" t="s">
        <v>74</v>
      </c>
      <c r="C119" s="120">
        <v>42402</v>
      </c>
      <c r="D119" s="121">
        <v>-3.5177937562573924E-2</v>
      </c>
      <c r="E119" s="120">
        <v>484</v>
      </c>
      <c r="F119" s="121">
        <f t="shared" ref="F119:L131" si="11">IFERROR(E119/C119-1,"-")</f>
        <v>-0.98858544408282634</v>
      </c>
      <c r="G119" s="120">
        <v>22981</v>
      </c>
      <c r="H119" s="121">
        <f t="shared" si="11"/>
        <v>46.481404958677686</v>
      </c>
      <c r="I119" s="120">
        <v>38867</v>
      </c>
      <c r="J119" s="121">
        <f t="shared" si="11"/>
        <v>0.69126669857708545</v>
      </c>
      <c r="K119" s="120">
        <v>41827</v>
      </c>
      <c r="L119" s="121">
        <f t="shared" si="11"/>
        <v>7.6157151310880744E-2</v>
      </c>
      <c r="M119" s="120">
        <v>45798</v>
      </c>
      <c r="N119" s="121">
        <f t="shared" ref="N119:N130" si="12">IFERROR(M119/K119-1,"-")</f>
        <v>9.493867597484873E-2</v>
      </c>
    </row>
    <row r="120" spans="1:15" x14ac:dyDescent="0.25">
      <c r="B120" s="119" t="s">
        <v>76</v>
      </c>
      <c r="C120" s="120">
        <v>44676</v>
      </c>
      <c r="D120" s="121">
        <v>6.3486395772334392E-2</v>
      </c>
      <c r="E120" s="120">
        <v>257</v>
      </c>
      <c r="F120" s="121">
        <f t="shared" si="11"/>
        <v>-0.99424747067776886</v>
      </c>
      <c r="G120" s="120">
        <v>33474</v>
      </c>
      <c r="H120" s="121">
        <f t="shared" si="11"/>
        <v>129.24902723735408</v>
      </c>
      <c r="I120" s="120">
        <v>40917</v>
      </c>
      <c r="J120" s="121">
        <f t="shared" si="11"/>
        <v>0.22235167592758565</v>
      </c>
      <c r="K120" s="120">
        <v>46040</v>
      </c>
      <c r="L120" s="121">
        <f t="shared" si="11"/>
        <v>0.12520468265024309</v>
      </c>
      <c r="M120" s="120">
        <v>47035</v>
      </c>
      <c r="N120" s="121">
        <f t="shared" si="12"/>
        <v>2.16116420503909E-2</v>
      </c>
    </row>
    <row r="121" spans="1:15" x14ac:dyDescent="0.25">
      <c r="B121" s="119" t="s">
        <v>78</v>
      </c>
      <c r="C121" s="120">
        <v>19712</v>
      </c>
      <c r="D121" s="121">
        <v>-0.62035360733407807</v>
      </c>
      <c r="E121" s="120">
        <v>272</v>
      </c>
      <c r="F121" s="121">
        <f t="shared" si="11"/>
        <v>-0.98620129870129869</v>
      </c>
      <c r="G121" s="120">
        <v>46540</v>
      </c>
      <c r="H121" s="121">
        <f t="shared" si="11"/>
        <v>170.10294117647058</v>
      </c>
      <c r="I121" s="120">
        <v>54879</v>
      </c>
      <c r="J121" s="121">
        <f t="shared" si="11"/>
        <v>0.17917920068758053</v>
      </c>
      <c r="K121" s="120">
        <v>55580</v>
      </c>
      <c r="L121" s="121">
        <f t="shared" si="11"/>
        <v>1.2773556369467309E-2</v>
      </c>
      <c r="M121" s="120">
        <v>57360</v>
      </c>
      <c r="N121" s="121">
        <f t="shared" si="12"/>
        <v>3.2025908600215924E-2</v>
      </c>
    </row>
    <row r="122" spans="1:15" x14ac:dyDescent="0.25">
      <c r="B122" s="119" t="s">
        <v>80</v>
      </c>
      <c r="C122" s="120">
        <v>0</v>
      </c>
      <c r="D122" s="121">
        <v>-1</v>
      </c>
      <c r="E122" s="120">
        <v>159</v>
      </c>
      <c r="F122" s="121" t="str">
        <f t="shared" si="11"/>
        <v>-</v>
      </c>
      <c r="G122" s="120">
        <v>48714</v>
      </c>
      <c r="H122" s="121">
        <f t="shared" si="11"/>
        <v>305.37735849056605</v>
      </c>
      <c r="I122" s="120">
        <v>48998</v>
      </c>
      <c r="J122" s="121">
        <f t="shared" si="11"/>
        <v>5.8299462166933047E-3</v>
      </c>
      <c r="K122" s="120">
        <v>57738</v>
      </c>
      <c r="L122" s="121">
        <f t="shared" si="11"/>
        <v>0.17837462753581779</v>
      </c>
      <c r="M122" s="120">
        <v>52845</v>
      </c>
      <c r="N122" s="121">
        <f t="shared" si="12"/>
        <v>-8.4744882053413684E-2</v>
      </c>
    </row>
    <row r="123" spans="1:15" x14ac:dyDescent="0.25">
      <c r="B123" s="119" t="s">
        <v>82</v>
      </c>
      <c r="C123" s="120">
        <v>0</v>
      </c>
      <c r="D123" s="121">
        <v>-1</v>
      </c>
      <c r="E123" s="120">
        <v>189</v>
      </c>
      <c r="F123" s="121" t="str">
        <f t="shared" si="11"/>
        <v>-</v>
      </c>
      <c r="G123" s="120">
        <v>52400</v>
      </c>
      <c r="H123" s="121">
        <f t="shared" si="11"/>
        <v>276.24867724867727</v>
      </c>
      <c r="I123" s="120">
        <v>55242</v>
      </c>
      <c r="J123" s="121">
        <f t="shared" si="11"/>
        <v>5.4236641221373949E-2</v>
      </c>
      <c r="K123" s="120">
        <v>61775</v>
      </c>
      <c r="L123" s="121">
        <f t="shared" si="11"/>
        <v>0.11826146772383339</v>
      </c>
      <c r="M123" s="120">
        <v>66971</v>
      </c>
      <c r="N123" s="121">
        <f t="shared" si="12"/>
        <v>8.4111695669769393E-2</v>
      </c>
    </row>
    <row r="124" spans="1:15" x14ac:dyDescent="0.25">
      <c r="B124" s="119" t="s">
        <v>84</v>
      </c>
      <c r="C124" s="120">
        <v>0</v>
      </c>
      <c r="D124" s="121">
        <v>-1</v>
      </c>
      <c r="E124" s="120">
        <v>1198</v>
      </c>
      <c r="F124" s="121" t="str">
        <f t="shared" si="11"/>
        <v>-</v>
      </c>
      <c r="G124" s="120">
        <v>53892</v>
      </c>
      <c r="H124" s="121">
        <f t="shared" si="11"/>
        <v>43.98497495826377</v>
      </c>
      <c r="I124" s="120">
        <v>60909</v>
      </c>
      <c r="J124" s="121">
        <f t="shared" si="11"/>
        <v>0.13020485415274985</v>
      </c>
      <c r="K124" s="120">
        <v>66223</v>
      </c>
      <c r="L124" s="121">
        <f t="shared" si="11"/>
        <v>8.7244906335681049E-2</v>
      </c>
      <c r="M124" s="120">
        <v>66524</v>
      </c>
      <c r="N124" s="121">
        <f t="shared" si="12"/>
        <v>4.5452486296302386E-3</v>
      </c>
    </row>
    <row r="125" spans="1:15" x14ac:dyDescent="0.25">
      <c r="B125" s="119" t="s">
        <v>86</v>
      </c>
      <c r="C125" s="120">
        <v>0</v>
      </c>
      <c r="D125" s="121">
        <v>-1</v>
      </c>
      <c r="E125" s="120">
        <v>4901</v>
      </c>
      <c r="F125" s="121" t="str">
        <f t="shared" si="11"/>
        <v>-</v>
      </c>
      <c r="G125" s="120">
        <v>59229</v>
      </c>
      <c r="H125" s="121">
        <f t="shared" si="11"/>
        <v>11.085084676596614</v>
      </c>
      <c r="I125" s="120">
        <v>59283</v>
      </c>
      <c r="J125" s="121">
        <f t="shared" si="11"/>
        <v>9.1171554475000249E-4</v>
      </c>
      <c r="K125" s="120">
        <v>64142</v>
      </c>
      <c r="L125" s="121">
        <f t="shared" si="11"/>
        <v>8.196278865779405E-2</v>
      </c>
      <c r="M125" s="120">
        <v>65396</v>
      </c>
      <c r="N125" s="121">
        <f t="shared" si="12"/>
        <v>1.9550372610769751E-2</v>
      </c>
    </row>
    <row r="126" spans="1:15" x14ac:dyDescent="0.25">
      <c r="B126" s="119" t="s">
        <v>88</v>
      </c>
      <c r="C126" s="120">
        <v>5479</v>
      </c>
      <c r="D126" s="121">
        <v>-0.90934661394132932</v>
      </c>
      <c r="E126" s="120">
        <v>14194</v>
      </c>
      <c r="F126" s="121">
        <f t="shared" si="11"/>
        <v>1.5906187260448985</v>
      </c>
      <c r="G126" s="120">
        <v>54770</v>
      </c>
      <c r="H126" s="121">
        <f t="shared" si="11"/>
        <v>2.8586726785965899</v>
      </c>
      <c r="I126" s="120">
        <v>55524</v>
      </c>
      <c r="J126" s="121">
        <f t="shared" si="11"/>
        <v>1.3766660580609713E-2</v>
      </c>
      <c r="K126" s="120">
        <v>62872</v>
      </c>
      <c r="L126" s="121">
        <f t="shared" si="11"/>
        <v>0.13233916864779194</v>
      </c>
      <c r="M126" s="120">
        <v>61698</v>
      </c>
      <c r="N126" s="121">
        <f t="shared" si="12"/>
        <v>-1.8672859142384479E-2</v>
      </c>
    </row>
    <row r="127" spans="1:15" x14ac:dyDescent="0.25">
      <c r="B127" s="119" t="s">
        <v>90</v>
      </c>
      <c r="C127" s="120">
        <v>4395</v>
      </c>
      <c r="D127" s="121">
        <v>-0.92352265608686568</v>
      </c>
      <c r="E127" s="120">
        <v>23200</v>
      </c>
      <c r="F127" s="121">
        <f t="shared" si="11"/>
        <v>4.2787258248009099</v>
      </c>
      <c r="G127" s="120">
        <v>55821</v>
      </c>
      <c r="H127" s="121">
        <f t="shared" si="11"/>
        <v>1.4060775862068966</v>
      </c>
      <c r="I127" s="120">
        <v>60872</v>
      </c>
      <c r="J127" s="121">
        <f t="shared" si="11"/>
        <v>9.0485659518819039E-2</v>
      </c>
      <c r="K127" s="120">
        <v>62946</v>
      </c>
      <c r="L127" s="121">
        <f t="shared" si="11"/>
        <v>3.4071494283085757E-2</v>
      </c>
      <c r="M127" s="120">
        <v>61772</v>
      </c>
      <c r="N127" s="121">
        <f t="shared" si="12"/>
        <v>-1.8650907126743554E-2</v>
      </c>
    </row>
    <row r="128" spans="1:15" x14ac:dyDescent="0.25">
      <c r="A128" s="125"/>
      <c r="B128" s="119" t="s">
        <v>92</v>
      </c>
      <c r="C128" s="120">
        <v>6516</v>
      </c>
      <c r="D128" s="121">
        <v>-0.87824884620415178</v>
      </c>
      <c r="E128" s="120">
        <v>38448</v>
      </c>
      <c r="F128" s="121">
        <f t="shared" si="11"/>
        <v>4.9005524861878449</v>
      </c>
      <c r="G128" s="120">
        <v>56132</v>
      </c>
      <c r="H128" s="121">
        <f t="shared" si="11"/>
        <v>0.45994590095713694</v>
      </c>
      <c r="I128" s="120">
        <v>59055</v>
      </c>
      <c r="J128" s="121">
        <f t="shared" si="11"/>
        <v>5.2073683460414744E-2</v>
      </c>
      <c r="K128" s="120">
        <v>62174</v>
      </c>
      <c r="L128" s="121">
        <f t="shared" si="11"/>
        <v>5.2815172297011159E-2</v>
      </c>
      <c r="M128" s="120">
        <v>65216</v>
      </c>
      <c r="N128" s="121">
        <f t="shared" si="12"/>
        <v>4.8927204297616322E-2</v>
      </c>
    </row>
    <row r="129" spans="2:15" x14ac:dyDescent="0.25">
      <c r="B129" s="119" t="s">
        <v>94</v>
      </c>
      <c r="C129" s="120">
        <v>7647</v>
      </c>
      <c r="D129" s="121">
        <v>-0.83478091781177077</v>
      </c>
      <c r="E129" s="120">
        <v>35023</v>
      </c>
      <c r="F129" s="121">
        <f t="shared" si="11"/>
        <v>3.5799659997384596</v>
      </c>
      <c r="G129" s="120">
        <v>49783</v>
      </c>
      <c r="H129" s="121">
        <f t="shared" si="11"/>
        <v>0.42143734117579879</v>
      </c>
      <c r="I129" s="120">
        <v>50763</v>
      </c>
      <c r="J129" s="121">
        <f t="shared" si="11"/>
        <v>1.9685434786975486E-2</v>
      </c>
      <c r="K129" s="120">
        <v>52169</v>
      </c>
      <c r="L129" s="121">
        <f t="shared" si="11"/>
        <v>2.769733861276924E-2</v>
      </c>
      <c r="M129" s="120">
        <v>49890</v>
      </c>
      <c r="N129" s="121">
        <f t="shared" si="12"/>
        <v>-4.36849469991758E-2</v>
      </c>
    </row>
    <row r="130" spans="2:15" x14ac:dyDescent="0.25">
      <c r="B130" s="119" t="s">
        <v>96</v>
      </c>
      <c r="C130" s="120">
        <v>8000</v>
      </c>
      <c r="D130" s="121">
        <v>-0.8313303816150116</v>
      </c>
      <c r="E130" s="120">
        <v>24281</v>
      </c>
      <c r="F130" s="121">
        <f t="shared" si="11"/>
        <v>2.0351249999999999</v>
      </c>
      <c r="G130" s="120">
        <v>48129</v>
      </c>
      <c r="H130" s="121">
        <f t="shared" si="11"/>
        <v>0.98216712655986171</v>
      </c>
      <c r="I130" s="120">
        <v>49377</v>
      </c>
      <c r="J130" s="121">
        <f t="shared" si="11"/>
        <v>2.5930312285732171E-2</v>
      </c>
      <c r="K130" s="120">
        <v>50165</v>
      </c>
      <c r="L130" s="121">
        <f t="shared" si="11"/>
        <v>1.5958847236567708E-2</v>
      </c>
      <c r="M130" s="120">
        <v>46754</v>
      </c>
      <c r="N130" s="121">
        <f t="shared" si="12"/>
        <v>-6.7995614472241561E-2</v>
      </c>
    </row>
    <row r="131" spans="2:15" ht="15.75" x14ac:dyDescent="0.25">
      <c r="B131" s="122" t="s">
        <v>33</v>
      </c>
      <c r="C131" s="123">
        <v>146501</v>
      </c>
      <c r="D131" s="124">
        <v>-0.77125623966561485</v>
      </c>
      <c r="E131" s="123">
        <v>142606</v>
      </c>
      <c r="F131" s="124">
        <f t="shared" si="11"/>
        <v>-2.6586849236523991E-2</v>
      </c>
      <c r="G131" s="123">
        <v>581865</v>
      </c>
      <c r="H131" s="124">
        <f t="shared" si="11"/>
        <v>3.0802280408958946</v>
      </c>
      <c r="I131" s="123">
        <v>634686</v>
      </c>
      <c r="J131" s="124">
        <f t="shared" si="11"/>
        <v>9.0778788894331219E-2</v>
      </c>
      <c r="K131" s="123">
        <v>683651</v>
      </c>
      <c r="L131" s="124">
        <f t="shared" si="11"/>
        <v>7.7148385185745294E-2</v>
      </c>
      <c r="M131" s="123">
        <v>687259</v>
      </c>
      <c r="N131" s="124">
        <v>5.2775465844414615E-3</v>
      </c>
    </row>
    <row r="132" spans="2:15" ht="6" customHeight="1" x14ac:dyDescent="0.25"/>
    <row r="133" spans="2:15" x14ac:dyDescent="0.25">
      <c r="B133" s="107" t="s">
        <v>58</v>
      </c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</row>
    <row r="134" spans="2:15" x14ac:dyDescent="0.25">
      <c r="K134" s="125"/>
      <c r="M134" s="125"/>
      <c r="N134" s="127"/>
    </row>
    <row r="136" spans="2:15" ht="48.75" customHeight="1" thickBot="1" x14ac:dyDescent="0.3">
      <c r="B136" s="283" t="s">
        <v>247</v>
      </c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1" t="s">
        <v>114</v>
      </c>
    </row>
    <row r="137" spans="2:15" ht="10.5" customHeight="1" thickBot="1" x14ac:dyDescent="0.3">
      <c r="B137" s="108"/>
      <c r="C137" s="109"/>
      <c r="D137" s="108"/>
      <c r="E137" s="108"/>
      <c r="F137" s="108"/>
      <c r="G137" s="108"/>
      <c r="H137" s="108"/>
      <c r="I137" s="108"/>
      <c r="J137" s="108"/>
      <c r="K137" s="108"/>
      <c r="L137" s="108"/>
      <c r="M137" s="4"/>
      <c r="N137" s="4"/>
      <c r="O137" s="1" t="s">
        <v>115</v>
      </c>
    </row>
    <row r="138" spans="2:15" ht="22.5" thickTop="1" thickBot="1" x14ac:dyDescent="0.3">
      <c r="B138" s="126" t="str">
        <f>C138</f>
        <v>Alemania</v>
      </c>
      <c r="C138" s="305" t="s">
        <v>116</v>
      </c>
      <c r="D138" s="306"/>
      <c r="E138" s="306"/>
      <c r="F138" s="306"/>
      <c r="G138" s="306"/>
      <c r="H138" s="306"/>
      <c r="I138" s="306"/>
      <c r="J138" s="306"/>
      <c r="K138" s="306"/>
      <c r="L138" s="306"/>
      <c r="M138" s="306"/>
      <c r="N138" s="306"/>
    </row>
    <row r="139" spans="2:15" ht="22.5" thickTop="1" thickBot="1" x14ac:dyDescent="0.3">
      <c r="B139" s="111"/>
      <c r="C139" s="307">
        <f>C$7</f>
        <v>2020</v>
      </c>
      <c r="D139" s="308"/>
      <c r="E139" s="307">
        <f>E$7</f>
        <v>2021</v>
      </c>
      <c r="F139" s="308"/>
      <c r="G139" s="307">
        <f>G$7</f>
        <v>2022</v>
      </c>
      <c r="H139" s="308"/>
      <c r="I139" s="307">
        <f>I$7</f>
        <v>2023</v>
      </c>
      <c r="J139" s="308"/>
      <c r="K139" s="307">
        <f>K$7</f>
        <v>2024</v>
      </c>
      <c r="L139" s="308"/>
      <c r="M139" s="307">
        <f>M$7</f>
        <v>2025</v>
      </c>
      <c r="N139" s="308"/>
    </row>
    <row r="140" spans="2:15" ht="16.5" thickTop="1" thickBot="1" x14ac:dyDescent="0.3">
      <c r="B140" s="87"/>
      <c r="C140" s="116" t="s">
        <v>72</v>
      </c>
      <c r="D140" s="117" t="str">
        <f>CONCATENATE("var ",RIGHT(C139,2),"/",RIGHT(C139-1,2))</f>
        <v>var 20/19</v>
      </c>
      <c r="E140" s="118" t="s">
        <v>72</v>
      </c>
      <c r="F140" s="117" t="str">
        <f>CONCATENATE("var ",RIGHT(E139,2),"/",RIGHT(E139-1,2))</f>
        <v>var 21/20</v>
      </c>
      <c r="G140" s="118" t="s">
        <v>72</v>
      </c>
      <c r="H140" s="117" t="str">
        <f>CONCATENATE("var ",RIGHT(G139,2),"/",RIGHT(G139-1,2))</f>
        <v>var 22/21</v>
      </c>
      <c r="I140" s="118" t="s">
        <v>72</v>
      </c>
      <c r="J140" s="117" t="str">
        <f>CONCATENATE("var ",RIGHT(I139,2),"/",RIGHT(I139-1,2))</f>
        <v>var 23/22</v>
      </c>
      <c r="K140" s="118" t="s">
        <v>72</v>
      </c>
      <c r="L140" s="117" t="str">
        <f>CONCATENATE("var ",RIGHT(K139,2),"/",RIGHT(K139-1,2))</f>
        <v>var 24/23</v>
      </c>
      <c r="M140" s="118" t="s">
        <v>72</v>
      </c>
      <c r="N140" s="117" t="str">
        <f>CONCATENATE("var ",RIGHT(M139,2),"/",RIGHT(M139-1,2))</f>
        <v>var 25/24</v>
      </c>
    </row>
    <row r="141" spans="2:15" x14ac:dyDescent="0.25">
      <c r="B141" s="119" t="s">
        <v>74</v>
      </c>
      <c r="C141" s="120">
        <v>4685</v>
      </c>
      <c r="D141" s="121">
        <v>-5.9236947791164618E-2</v>
      </c>
      <c r="E141" s="120">
        <v>536</v>
      </c>
      <c r="F141" s="121">
        <f t="shared" ref="F141:L153" si="13">IFERROR(E141/C141-1,"-")</f>
        <v>-0.88559231590181431</v>
      </c>
      <c r="G141" s="120">
        <v>3124</v>
      </c>
      <c r="H141" s="121">
        <f t="shared" si="13"/>
        <v>4.8283582089552235</v>
      </c>
      <c r="I141" s="120">
        <v>4168</v>
      </c>
      <c r="J141" s="121">
        <f t="shared" si="13"/>
        <v>0.33418693982074266</v>
      </c>
      <c r="K141" s="120">
        <v>4030</v>
      </c>
      <c r="L141" s="121">
        <f t="shared" si="13"/>
        <v>-3.3109404990403046E-2</v>
      </c>
      <c r="M141" s="120">
        <v>4255</v>
      </c>
      <c r="N141" s="121">
        <f t="shared" ref="N141:N152" si="14">IFERROR(M141/K141-1,"-")</f>
        <v>5.583126550868478E-2</v>
      </c>
    </row>
    <row r="142" spans="2:15" x14ac:dyDescent="0.25">
      <c r="B142" s="119" t="s">
        <v>76</v>
      </c>
      <c r="C142" s="120">
        <v>4649</v>
      </c>
      <c r="D142" s="121">
        <v>-5.1224489795918315E-2</v>
      </c>
      <c r="E142" s="120">
        <v>587</v>
      </c>
      <c r="F142" s="121">
        <f t="shared" si="13"/>
        <v>-0.87373628737362874</v>
      </c>
      <c r="G142" s="120">
        <v>3140</v>
      </c>
      <c r="H142" s="121">
        <f t="shared" si="13"/>
        <v>4.3492333901192506</v>
      </c>
      <c r="I142" s="120">
        <v>4770</v>
      </c>
      <c r="J142" s="121">
        <f t="shared" si="13"/>
        <v>0.51910828025477707</v>
      </c>
      <c r="K142" s="120">
        <v>4864</v>
      </c>
      <c r="L142" s="121">
        <f t="shared" si="13"/>
        <v>1.9706498951781892E-2</v>
      </c>
      <c r="M142" s="120">
        <v>4432</v>
      </c>
      <c r="N142" s="121">
        <f t="shared" si="14"/>
        <v>-8.8815789473684181E-2</v>
      </c>
    </row>
    <row r="143" spans="2:15" x14ac:dyDescent="0.25">
      <c r="B143" s="119" t="s">
        <v>78</v>
      </c>
      <c r="C143" s="120">
        <v>2369</v>
      </c>
      <c r="D143" s="121">
        <v>-0.57643482925084921</v>
      </c>
      <c r="E143" s="120">
        <v>734</v>
      </c>
      <c r="F143" s="121">
        <f t="shared" si="13"/>
        <v>-0.69016462642465171</v>
      </c>
      <c r="G143" s="120">
        <v>3797</v>
      </c>
      <c r="H143" s="121">
        <f t="shared" si="13"/>
        <v>4.1730245231607626</v>
      </c>
      <c r="I143" s="120">
        <v>4902</v>
      </c>
      <c r="J143" s="121">
        <f t="shared" si="13"/>
        <v>0.29101922570450345</v>
      </c>
      <c r="K143" s="120">
        <v>5123</v>
      </c>
      <c r="L143" s="121">
        <f t="shared" si="13"/>
        <v>4.5083639330885328E-2</v>
      </c>
      <c r="M143" s="120">
        <v>4974</v>
      </c>
      <c r="N143" s="121">
        <f t="shared" si="14"/>
        <v>-2.9084520788600465E-2</v>
      </c>
    </row>
    <row r="144" spans="2:15" x14ac:dyDescent="0.25">
      <c r="B144" s="119" t="s">
        <v>80</v>
      </c>
      <c r="C144" s="120">
        <v>0</v>
      </c>
      <c r="D144" s="121">
        <v>-1</v>
      </c>
      <c r="E144" s="120">
        <v>547</v>
      </c>
      <c r="F144" s="121" t="str">
        <f t="shared" si="13"/>
        <v>-</v>
      </c>
      <c r="G144" s="120">
        <v>3884</v>
      </c>
      <c r="H144" s="121">
        <f t="shared" si="13"/>
        <v>6.1005484460694701</v>
      </c>
      <c r="I144" s="120">
        <v>3848</v>
      </c>
      <c r="J144" s="121">
        <f t="shared" si="13"/>
        <v>-9.2687950566426869E-3</v>
      </c>
      <c r="K144" s="120">
        <v>3449</v>
      </c>
      <c r="L144" s="121">
        <f t="shared" si="13"/>
        <v>-0.1036902286902287</v>
      </c>
      <c r="M144" s="120">
        <v>4586</v>
      </c>
      <c r="N144" s="121">
        <f t="shared" si="14"/>
        <v>0.32966077123803994</v>
      </c>
    </row>
    <row r="145" spans="1:15" x14ac:dyDescent="0.25">
      <c r="B145" s="119" t="s">
        <v>82</v>
      </c>
      <c r="C145" s="120">
        <v>0</v>
      </c>
      <c r="D145" s="121">
        <v>-1</v>
      </c>
      <c r="E145" s="120">
        <v>771</v>
      </c>
      <c r="F145" s="121" t="str">
        <f t="shared" si="13"/>
        <v>-</v>
      </c>
      <c r="G145" s="120">
        <v>1871</v>
      </c>
      <c r="H145" s="121">
        <f t="shared" si="13"/>
        <v>1.4267185473411153</v>
      </c>
      <c r="I145" s="120">
        <v>2095</v>
      </c>
      <c r="J145" s="121">
        <f t="shared" si="13"/>
        <v>0.119722073757349</v>
      </c>
      <c r="K145" s="120">
        <v>2729</v>
      </c>
      <c r="L145" s="121">
        <f t="shared" si="13"/>
        <v>0.30262529832935559</v>
      </c>
      <c r="M145" s="120">
        <v>2702</v>
      </c>
      <c r="N145" s="121">
        <f t="shared" si="14"/>
        <v>-9.8937339684865844E-3</v>
      </c>
    </row>
    <row r="146" spans="1:15" x14ac:dyDescent="0.25">
      <c r="B146" s="119" t="s">
        <v>84</v>
      </c>
      <c r="C146" s="120">
        <v>0</v>
      </c>
      <c r="D146" s="121">
        <v>-1</v>
      </c>
      <c r="E146" s="120">
        <v>777</v>
      </c>
      <c r="F146" s="121" t="str">
        <f t="shared" si="13"/>
        <v>-</v>
      </c>
      <c r="G146" s="120">
        <v>2403</v>
      </c>
      <c r="H146" s="121">
        <f t="shared" si="13"/>
        <v>2.0926640926640925</v>
      </c>
      <c r="I146" s="120">
        <v>3004</v>
      </c>
      <c r="J146" s="121">
        <f t="shared" si="13"/>
        <v>0.25010403662089065</v>
      </c>
      <c r="K146" s="120">
        <v>2187</v>
      </c>
      <c r="L146" s="121">
        <f t="shared" si="13"/>
        <v>-0.27197070572569904</v>
      </c>
      <c r="M146" s="120">
        <v>3148</v>
      </c>
      <c r="N146" s="121">
        <f t="shared" si="14"/>
        <v>0.43941472336534071</v>
      </c>
    </row>
    <row r="147" spans="1:15" x14ac:dyDescent="0.25">
      <c r="B147" s="119" t="s">
        <v>86</v>
      </c>
      <c r="C147" s="120">
        <v>0</v>
      </c>
      <c r="D147" s="121">
        <v>-1</v>
      </c>
      <c r="E147" s="120">
        <v>1389</v>
      </c>
      <c r="F147" s="121" t="str">
        <f t="shared" si="13"/>
        <v>-</v>
      </c>
      <c r="G147" s="120">
        <v>2941</v>
      </c>
      <c r="H147" s="121">
        <f t="shared" si="13"/>
        <v>1.1173506119510441</v>
      </c>
      <c r="I147" s="120">
        <v>2520</v>
      </c>
      <c r="J147" s="121">
        <f t="shared" si="13"/>
        <v>-0.14314858891533488</v>
      </c>
      <c r="K147" s="120">
        <v>2455</v>
      </c>
      <c r="L147" s="121">
        <f t="shared" si="13"/>
        <v>-2.5793650793650813E-2</v>
      </c>
      <c r="M147" s="120">
        <v>3024</v>
      </c>
      <c r="N147" s="121">
        <f t="shared" si="14"/>
        <v>0.23177189409368637</v>
      </c>
    </row>
    <row r="148" spans="1:15" x14ac:dyDescent="0.25">
      <c r="B148" s="119" t="s">
        <v>88</v>
      </c>
      <c r="C148" s="120">
        <v>1133</v>
      </c>
      <c r="D148" s="121">
        <v>-0.64965986394557818</v>
      </c>
      <c r="E148" s="120">
        <v>1244</v>
      </c>
      <c r="F148" s="121">
        <f t="shared" si="13"/>
        <v>9.7969991173874726E-2</v>
      </c>
      <c r="G148" s="120">
        <v>2558</v>
      </c>
      <c r="H148" s="121">
        <f t="shared" si="13"/>
        <v>1.0562700964630225</v>
      </c>
      <c r="I148" s="120">
        <v>3156</v>
      </c>
      <c r="J148" s="121">
        <f t="shared" si="13"/>
        <v>0.23377638780297105</v>
      </c>
      <c r="K148" s="120">
        <v>3085</v>
      </c>
      <c r="L148" s="121">
        <f t="shared" si="13"/>
        <v>-2.249683143219261E-2</v>
      </c>
      <c r="M148" s="120">
        <v>3470</v>
      </c>
      <c r="N148" s="121">
        <f t="shared" si="14"/>
        <v>0.12479740680713136</v>
      </c>
    </row>
    <row r="149" spans="1:15" x14ac:dyDescent="0.25">
      <c r="B149" s="119" t="s">
        <v>90</v>
      </c>
      <c r="C149" s="120">
        <v>238</v>
      </c>
      <c r="D149" s="121">
        <v>-0.93713681986265185</v>
      </c>
      <c r="E149" s="120">
        <v>2765</v>
      </c>
      <c r="F149" s="121">
        <f t="shared" si="13"/>
        <v>10.617647058823529</v>
      </c>
      <c r="G149" s="120">
        <v>2665</v>
      </c>
      <c r="H149" s="121">
        <f t="shared" si="13"/>
        <v>-3.6166365280289381E-2</v>
      </c>
      <c r="I149" s="120">
        <v>3076</v>
      </c>
      <c r="J149" s="121">
        <f t="shared" si="13"/>
        <v>0.15422138836772992</v>
      </c>
      <c r="K149" s="120">
        <v>2728</v>
      </c>
      <c r="L149" s="121">
        <f t="shared" si="13"/>
        <v>-0.11313394018205458</v>
      </c>
      <c r="M149" s="120">
        <v>3215</v>
      </c>
      <c r="N149" s="121">
        <f t="shared" si="14"/>
        <v>0.17851906158357767</v>
      </c>
    </row>
    <row r="150" spans="1:15" x14ac:dyDescent="0.25">
      <c r="A150" s="125"/>
      <c r="B150" s="119" t="s">
        <v>92</v>
      </c>
      <c r="C150" s="120">
        <v>347</v>
      </c>
      <c r="D150" s="121">
        <v>-0.91965732808520495</v>
      </c>
      <c r="E150" s="120">
        <v>3944</v>
      </c>
      <c r="F150" s="121">
        <f t="shared" si="13"/>
        <v>10.36599423631124</v>
      </c>
      <c r="G150" s="120">
        <v>3276</v>
      </c>
      <c r="H150" s="121">
        <f t="shared" si="13"/>
        <v>-0.16937119675456391</v>
      </c>
      <c r="I150" s="120">
        <v>3785</v>
      </c>
      <c r="J150" s="121">
        <f t="shared" si="13"/>
        <v>0.15537240537240526</v>
      </c>
      <c r="K150" s="120">
        <v>4043</v>
      </c>
      <c r="L150" s="121">
        <f t="shared" si="13"/>
        <v>6.816380449141346E-2</v>
      </c>
      <c r="M150" s="120">
        <v>4633</v>
      </c>
      <c r="N150" s="121">
        <f t="shared" si="14"/>
        <v>0.14593123917882767</v>
      </c>
    </row>
    <row r="151" spans="1:15" x14ac:dyDescent="0.25">
      <c r="B151" s="119" t="s">
        <v>94</v>
      </c>
      <c r="C151" s="120">
        <v>862</v>
      </c>
      <c r="D151" s="121">
        <v>-0.83555894696680655</v>
      </c>
      <c r="E151" s="120">
        <v>4559</v>
      </c>
      <c r="F151" s="121">
        <f t="shared" si="13"/>
        <v>4.2888631090487239</v>
      </c>
      <c r="G151" s="120">
        <v>4655</v>
      </c>
      <c r="H151" s="121">
        <f t="shared" si="13"/>
        <v>2.1057249396797539E-2</v>
      </c>
      <c r="I151" s="120">
        <v>4820</v>
      </c>
      <c r="J151" s="121">
        <f t="shared" si="13"/>
        <v>3.5445757250268439E-2</v>
      </c>
      <c r="K151" s="120">
        <v>4637</v>
      </c>
      <c r="L151" s="121">
        <f t="shared" si="13"/>
        <v>-3.7966804979253088E-2</v>
      </c>
      <c r="M151" s="120">
        <v>6256</v>
      </c>
      <c r="N151" s="121">
        <f t="shared" si="14"/>
        <v>0.34914815613543237</v>
      </c>
    </row>
    <row r="152" spans="1:15" x14ac:dyDescent="0.25">
      <c r="B152" s="119" t="s">
        <v>96</v>
      </c>
      <c r="C152" s="120">
        <v>854</v>
      </c>
      <c r="D152" s="121">
        <v>-0.78644661165291319</v>
      </c>
      <c r="E152" s="120">
        <v>3993</v>
      </c>
      <c r="F152" s="121">
        <f t="shared" si="13"/>
        <v>3.6756440281030445</v>
      </c>
      <c r="G152" s="120">
        <v>4758</v>
      </c>
      <c r="H152" s="121">
        <f t="shared" si="13"/>
        <v>0.19158527422990224</v>
      </c>
      <c r="I152" s="120">
        <v>4975</v>
      </c>
      <c r="J152" s="121">
        <f t="shared" si="13"/>
        <v>4.5607398066414451E-2</v>
      </c>
      <c r="K152" s="120">
        <v>5171</v>
      </c>
      <c r="L152" s="121">
        <f t="shared" si="13"/>
        <v>3.939698492462318E-2</v>
      </c>
      <c r="M152" s="120">
        <v>6256</v>
      </c>
      <c r="N152" s="121">
        <f t="shared" si="14"/>
        <v>0.20982401856507438</v>
      </c>
    </row>
    <row r="153" spans="1:15" ht="15.75" x14ac:dyDescent="0.25">
      <c r="B153" s="122" t="s">
        <v>33</v>
      </c>
      <c r="C153" s="123">
        <v>16159</v>
      </c>
      <c r="D153" s="124">
        <v>-0.69162802236598542</v>
      </c>
      <c r="E153" s="123">
        <v>21846</v>
      </c>
      <c r="F153" s="124">
        <f t="shared" si="13"/>
        <v>0.35194009530292725</v>
      </c>
      <c r="G153" s="123">
        <v>39072</v>
      </c>
      <c r="H153" s="124">
        <f t="shared" si="13"/>
        <v>0.78851963746223563</v>
      </c>
      <c r="I153" s="123">
        <v>45119</v>
      </c>
      <c r="J153" s="124">
        <f t="shared" si="13"/>
        <v>0.15476556101556094</v>
      </c>
      <c r="K153" s="123">
        <v>44501</v>
      </c>
      <c r="L153" s="124">
        <f t="shared" si="13"/>
        <v>-1.3697112081384799E-2</v>
      </c>
      <c r="M153" s="123">
        <v>50301</v>
      </c>
      <c r="N153" s="124">
        <v>0.13033414979438662</v>
      </c>
    </row>
    <row r="154" spans="1:15" ht="6" customHeight="1" x14ac:dyDescent="0.25"/>
    <row r="155" spans="1:15" x14ac:dyDescent="0.25">
      <c r="B155" s="107" t="s">
        <v>58</v>
      </c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</row>
    <row r="156" spans="1:15" x14ac:dyDescent="0.25">
      <c r="K156" s="125"/>
      <c r="N156" s="128"/>
    </row>
    <row r="158" spans="1:15" ht="48.75" customHeight="1" thickBot="1" x14ac:dyDescent="0.3">
      <c r="B158" s="283" t="s">
        <v>248</v>
      </c>
      <c r="C158" s="283"/>
      <c r="D158" s="283"/>
      <c r="E158" s="283"/>
      <c r="F158" s="283"/>
      <c r="G158" s="283"/>
      <c r="H158" s="283"/>
      <c r="I158" s="283"/>
      <c r="J158" s="283"/>
      <c r="K158" s="283"/>
      <c r="L158" s="283"/>
      <c r="M158" s="283"/>
      <c r="N158" s="283"/>
      <c r="O158" s="1" t="s">
        <v>117</v>
      </c>
    </row>
    <row r="159" spans="1:15" ht="10.5" customHeight="1" thickBot="1" x14ac:dyDescent="0.3">
      <c r="B159" s="108"/>
      <c r="C159" s="109"/>
      <c r="D159" s="108"/>
      <c r="E159" s="108"/>
      <c r="F159" s="108"/>
      <c r="G159" s="108"/>
      <c r="H159" s="108"/>
      <c r="I159" s="108"/>
      <c r="J159" s="108"/>
      <c r="K159" s="108"/>
      <c r="L159" s="108"/>
      <c r="M159" s="4"/>
      <c r="N159" s="4"/>
      <c r="O159" s="1" t="s">
        <v>118</v>
      </c>
    </row>
    <row r="160" spans="1:15" ht="22.5" thickTop="1" thickBot="1" x14ac:dyDescent="0.3">
      <c r="B160" s="126" t="str">
        <f>C160</f>
        <v>Francia</v>
      </c>
      <c r="C160" s="305" t="s">
        <v>119</v>
      </c>
      <c r="D160" s="306"/>
      <c r="E160" s="306"/>
      <c r="F160" s="306"/>
      <c r="G160" s="306"/>
      <c r="H160" s="306"/>
      <c r="I160" s="306"/>
      <c r="J160" s="306"/>
      <c r="K160" s="306"/>
      <c r="L160" s="306"/>
      <c r="M160" s="306"/>
      <c r="N160" s="306"/>
    </row>
    <row r="161" spans="2:14" ht="22.5" thickTop="1" thickBot="1" x14ac:dyDescent="0.3">
      <c r="B161" s="111"/>
      <c r="C161" s="307">
        <f>C$7</f>
        <v>2020</v>
      </c>
      <c r="D161" s="308"/>
      <c r="E161" s="307">
        <f>E$7</f>
        <v>2021</v>
      </c>
      <c r="F161" s="308"/>
      <c r="G161" s="307">
        <f>G$7</f>
        <v>2022</v>
      </c>
      <c r="H161" s="308"/>
      <c r="I161" s="307">
        <f>I$7</f>
        <v>2023</v>
      </c>
      <c r="J161" s="308"/>
      <c r="K161" s="307">
        <f>K$7</f>
        <v>2024</v>
      </c>
      <c r="L161" s="308"/>
      <c r="M161" s="307">
        <f>M$7</f>
        <v>2025</v>
      </c>
      <c r="N161" s="308"/>
    </row>
    <row r="162" spans="2:14" ht="16.5" thickTop="1" thickBot="1" x14ac:dyDescent="0.3">
      <c r="B162" s="87"/>
      <c r="C162" s="116" t="s">
        <v>72</v>
      </c>
      <c r="D162" s="117" t="str">
        <f>CONCATENATE("var ",RIGHT(C161,2),"/",RIGHT(C161-1,2))</f>
        <v>var 20/19</v>
      </c>
      <c r="E162" s="118" t="s">
        <v>72</v>
      </c>
      <c r="F162" s="117" t="str">
        <f>CONCATENATE("var ",RIGHT(E161,2),"/",RIGHT(E161-1,2))</f>
        <v>var 21/20</v>
      </c>
      <c r="G162" s="118" t="s">
        <v>72</v>
      </c>
      <c r="H162" s="117" t="str">
        <f>CONCATENATE("var ",RIGHT(G161,2),"/",RIGHT(G161-1,2))</f>
        <v>var 22/21</v>
      </c>
      <c r="I162" s="118" t="s">
        <v>72</v>
      </c>
      <c r="J162" s="117" t="str">
        <f>CONCATENATE("var ",RIGHT(I161,2),"/",RIGHT(I161-1,2))</f>
        <v>var 23/22</v>
      </c>
      <c r="K162" s="118" t="s">
        <v>72</v>
      </c>
      <c r="L162" s="117" t="str">
        <f>CONCATENATE("var ",RIGHT(K161,2),"/",RIGHT(K161-1,2))</f>
        <v>var 24/23</v>
      </c>
      <c r="M162" s="118" t="s">
        <v>72</v>
      </c>
      <c r="N162" s="117" t="str">
        <f>CONCATENATE("var ",RIGHT(M161,2),"/",RIGHT(M161-1,2))</f>
        <v>var 25/24</v>
      </c>
    </row>
    <row r="163" spans="2:14" x14ac:dyDescent="0.25">
      <c r="B163" s="119" t="s">
        <v>74</v>
      </c>
      <c r="C163" s="120">
        <v>2336</v>
      </c>
      <c r="D163" s="121">
        <v>0.17801311144730203</v>
      </c>
      <c r="E163" s="120">
        <v>719</v>
      </c>
      <c r="F163" s="121">
        <f t="shared" ref="F163:L175" si="15">IFERROR(E163/C163-1,"-")</f>
        <v>-0.69220890410958902</v>
      </c>
      <c r="G163" s="120">
        <v>1823</v>
      </c>
      <c r="H163" s="121">
        <f t="shared" si="15"/>
        <v>1.5354659248956883</v>
      </c>
      <c r="I163" s="120">
        <v>2209</v>
      </c>
      <c r="J163" s="121">
        <f t="shared" si="15"/>
        <v>0.21173889193636852</v>
      </c>
      <c r="K163" s="120">
        <v>2149</v>
      </c>
      <c r="L163" s="121">
        <f t="shared" si="15"/>
        <v>-2.7161611588954249E-2</v>
      </c>
      <c r="M163" s="120">
        <v>2358</v>
      </c>
      <c r="N163" s="121">
        <f t="shared" ref="N163:N174" si="16">IFERROR(M163/K163-1,"-")</f>
        <v>9.7254536993950591E-2</v>
      </c>
    </row>
    <row r="164" spans="2:14" x14ac:dyDescent="0.25">
      <c r="B164" s="119" t="s">
        <v>76</v>
      </c>
      <c r="C164" s="120">
        <v>2719</v>
      </c>
      <c r="D164" s="121">
        <v>0.11434426229508188</v>
      </c>
      <c r="E164" s="120">
        <v>1408</v>
      </c>
      <c r="F164" s="121">
        <f t="shared" si="15"/>
        <v>-0.4821625597646193</v>
      </c>
      <c r="G164" s="120">
        <v>2638</v>
      </c>
      <c r="H164" s="121">
        <f t="shared" si="15"/>
        <v>0.87357954545454541</v>
      </c>
      <c r="I164" s="120">
        <v>2846</v>
      </c>
      <c r="J164" s="121">
        <f t="shared" si="15"/>
        <v>7.8847611827141728E-2</v>
      </c>
      <c r="K164" s="120">
        <v>2914</v>
      </c>
      <c r="L164" s="121">
        <f t="shared" si="15"/>
        <v>2.3893183415319763E-2</v>
      </c>
      <c r="M164" s="120">
        <v>3282</v>
      </c>
      <c r="N164" s="121">
        <f t="shared" si="16"/>
        <v>0.12628689087165412</v>
      </c>
    </row>
    <row r="165" spans="2:14" x14ac:dyDescent="0.25">
      <c r="B165" s="119" t="s">
        <v>78</v>
      </c>
      <c r="C165" s="120">
        <v>744</v>
      </c>
      <c r="D165" s="121">
        <v>-0.63493621197252215</v>
      </c>
      <c r="E165" s="120">
        <v>1099</v>
      </c>
      <c r="F165" s="121">
        <f t="shared" si="15"/>
        <v>0.47715053763440851</v>
      </c>
      <c r="G165" s="120">
        <v>2270</v>
      </c>
      <c r="H165" s="121">
        <f t="shared" si="15"/>
        <v>1.0655141037306644</v>
      </c>
      <c r="I165" s="120">
        <v>2344</v>
      </c>
      <c r="J165" s="121">
        <f t="shared" si="15"/>
        <v>3.2599118942731264E-2</v>
      </c>
      <c r="K165" s="120">
        <v>2307</v>
      </c>
      <c r="L165" s="121">
        <f t="shared" si="15"/>
        <v>-1.5784982935153624E-2</v>
      </c>
      <c r="M165" s="120">
        <v>2669</v>
      </c>
      <c r="N165" s="121">
        <f t="shared" si="16"/>
        <v>0.15691374078890341</v>
      </c>
    </row>
    <row r="166" spans="2:14" x14ac:dyDescent="0.25">
      <c r="B166" s="119" t="s">
        <v>80</v>
      </c>
      <c r="C166" s="120">
        <v>0</v>
      </c>
      <c r="D166" s="121">
        <v>-1</v>
      </c>
      <c r="E166" s="120">
        <v>810</v>
      </c>
      <c r="F166" s="121" t="str">
        <f t="shared" si="15"/>
        <v>-</v>
      </c>
      <c r="G166" s="120">
        <v>2669</v>
      </c>
      <c r="H166" s="121">
        <f t="shared" si="15"/>
        <v>2.2950617283950616</v>
      </c>
      <c r="I166" s="120">
        <v>3420</v>
      </c>
      <c r="J166" s="121">
        <f t="shared" si="15"/>
        <v>0.28137879355563888</v>
      </c>
      <c r="K166" s="120">
        <v>3021</v>
      </c>
      <c r="L166" s="121">
        <f t="shared" si="15"/>
        <v>-0.1166666666666667</v>
      </c>
      <c r="M166" s="120">
        <v>2612</v>
      </c>
      <c r="N166" s="121">
        <f t="shared" si="16"/>
        <v>-0.13538563389606095</v>
      </c>
    </row>
    <row r="167" spans="2:14" x14ac:dyDescent="0.25">
      <c r="B167" s="119" t="s">
        <v>82</v>
      </c>
      <c r="C167" s="120">
        <v>0</v>
      </c>
      <c r="D167" s="121">
        <v>-1</v>
      </c>
      <c r="E167" s="120">
        <v>1638</v>
      </c>
      <c r="F167" s="121" t="str">
        <f t="shared" si="15"/>
        <v>-</v>
      </c>
      <c r="G167" s="120">
        <v>2204</v>
      </c>
      <c r="H167" s="121">
        <f t="shared" si="15"/>
        <v>0.34554334554334565</v>
      </c>
      <c r="I167" s="120">
        <v>2278</v>
      </c>
      <c r="J167" s="121">
        <f t="shared" si="15"/>
        <v>3.3575317604355615E-2</v>
      </c>
      <c r="K167" s="120">
        <v>2217</v>
      </c>
      <c r="L167" s="121">
        <f t="shared" si="15"/>
        <v>-2.6777875329236145E-2</v>
      </c>
      <c r="M167" s="120">
        <v>2424</v>
      </c>
      <c r="N167" s="121">
        <f t="shared" si="16"/>
        <v>9.3369418132611681E-2</v>
      </c>
    </row>
    <row r="168" spans="2:14" x14ac:dyDescent="0.25">
      <c r="B168" s="119" t="s">
        <v>84</v>
      </c>
      <c r="C168" s="120">
        <v>0</v>
      </c>
      <c r="D168" s="121">
        <v>-1</v>
      </c>
      <c r="E168" s="120">
        <v>1226</v>
      </c>
      <c r="F168" s="121" t="str">
        <f t="shared" si="15"/>
        <v>-</v>
      </c>
      <c r="G168" s="120">
        <v>1538</v>
      </c>
      <c r="H168" s="121">
        <f t="shared" si="15"/>
        <v>0.25448613376835238</v>
      </c>
      <c r="I168" s="120">
        <v>1790</v>
      </c>
      <c r="J168" s="121">
        <f t="shared" si="15"/>
        <v>0.16384915474642403</v>
      </c>
      <c r="K168" s="120">
        <v>2073</v>
      </c>
      <c r="L168" s="121">
        <f t="shared" si="15"/>
        <v>0.1581005586592179</v>
      </c>
      <c r="M168" s="120">
        <v>2047</v>
      </c>
      <c r="N168" s="121">
        <f t="shared" si="16"/>
        <v>-1.2542209358417766E-2</v>
      </c>
    </row>
    <row r="169" spans="2:14" x14ac:dyDescent="0.25">
      <c r="B169" s="119" t="s">
        <v>86</v>
      </c>
      <c r="C169" s="120">
        <v>0</v>
      </c>
      <c r="D169" s="121">
        <v>-1</v>
      </c>
      <c r="E169" s="120">
        <v>2008</v>
      </c>
      <c r="F169" s="121" t="str">
        <f t="shared" si="15"/>
        <v>-</v>
      </c>
      <c r="G169" s="120">
        <v>1994</v>
      </c>
      <c r="H169" s="121">
        <f t="shared" si="15"/>
        <v>-6.9721115537848544E-3</v>
      </c>
      <c r="I169" s="120">
        <v>2033</v>
      </c>
      <c r="J169" s="121">
        <f t="shared" si="15"/>
        <v>1.9558676028084143E-2</v>
      </c>
      <c r="K169" s="120">
        <v>2235</v>
      </c>
      <c r="L169" s="121">
        <f t="shared" si="15"/>
        <v>9.9360550909985301E-2</v>
      </c>
      <c r="M169" s="120">
        <v>2708</v>
      </c>
      <c r="N169" s="121">
        <f t="shared" si="16"/>
        <v>0.21163310961968684</v>
      </c>
    </row>
    <row r="170" spans="2:14" x14ac:dyDescent="0.25">
      <c r="B170" s="119" t="s">
        <v>88</v>
      </c>
      <c r="C170" s="120">
        <v>954</v>
      </c>
      <c r="D170" s="121">
        <v>-0.58719169190826481</v>
      </c>
      <c r="E170" s="120">
        <v>2395</v>
      </c>
      <c r="F170" s="121">
        <f t="shared" si="15"/>
        <v>1.5104821802935011</v>
      </c>
      <c r="G170" s="120">
        <v>2886</v>
      </c>
      <c r="H170" s="121">
        <f t="shared" si="15"/>
        <v>0.20501043841336108</v>
      </c>
      <c r="I170" s="120">
        <v>2930</v>
      </c>
      <c r="J170" s="121">
        <f t="shared" si="15"/>
        <v>1.524601524601521E-2</v>
      </c>
      <c r="K170" s="120">
        <v>3259</v>
      </c>
      <c r="L170" s="121">
        <f t="shared" si="15"/>
        <v>0.11228668941979514</v>
      </c>
      <c r="M170" s="120">
        <v>3686</v>
      </c>
      <c r="N170" s="121">
        <f t="shared" si="16"/>
        <v>0.13102178582387225</v>
      </c>
    </row>
    <row r="171" spans="2:14" x14ac:dyDescent="0.25">
      <c r="B171" s="119" t="s">
        <v>90</v>
      </c>
      <c r="C171" s="120">
        <v>368</v>
      </c>
      <c r="D171" s="121">
        <v>-0.77601947656725501</v>
      </c>
      <c r="E171" s="120">
        <v>1381</v>
      </c>
      <c r="F171" s="121">
        <f t="shared" si="15"/>
        <v>2.7527173913043477</v>
      </c>
      <c r="G171" s="120">
        <v>1823</v>
      </c>
      <c r="H171" s="121">
        <f t="shared" si="15"/>
        <v>0.32005792903692987</v>
      </c>
      <c r="I171" s="120">
        <v>1975</v>
      </c>
      <c r="J171" s="121">
        <f t="shared" si="15"/>
        <v>8.3379045529347273E-2</v>
      </c>
      <c r="K171" s="120">
        <v>1850</v>
      </c>
      <c r="L171" s="121">
        <f t="shared" si="15"/>
        <v>-6.3291139240506333E-2</v>
      </c>
      <c r="M171" s="120">
        <v>2168</v>
      </c>
      <c r="N171" s="121">
        <f t="shared" si="16"/>
        <v>0.17189189189189191</v>
      </c>
    </row>
    <row r="172" spans="2:14" x14ac:dyDescent="0.25">
      <c r="B172" s="119" t="s">
        <v>92</v>
      </c>
      <c r="C172" s="120">
        <v>1343</v>
      </c>
      <c r="D172" s="121">
        <v>-0.33744449925999009</v>
      </c>
      <c r="E172" s="120">
        <v>2655</v>
      </c>
      <c r="F172" s="121">
        <f t="shared" si="15"/>
        <v>0.9769173492181682</v>
      </c>
      <c r="G172" s="120">
        <v>2789</v>
      </c>
      <c r="H172" s="121">
        <f t="shared" si="15"/>
        <v>5.0470809792843685E-2</v>
      </c>
      <c r="I172" s="120">
        <v>2829</v>
      </c>
      <c r="J172" s="121">
        <f t="shared" si="15"/>
        <v>1.4342058085335285E-2</v>
      </c>
      <c r="K172" s="120">
        <v>2728</v>
      </c>
      <c r="L172" s="121">
        <f t="shared" si="15"/>
        <v>-3.5701661364439752E-2</v>
      </c>
      <c r="M172" s="120">
        <v>3032</v>
      </c>
      <c r="N172" s="121">
        <f t="shared" si="16"/>
        <v>0.11143695014662747</v>
      </c>
    </row>
    <row r="173" spans="2:14" x14ac:dyDescent="0.25">
      <c r="B173" s="119" t="s">
        <v>94</v>
      </c>
      <c r="C173" s="120">
        <v>230</v>
      </c>
      <c r="D173" s="121">
        <v>-0.88764044943820219</v>
      </c>
      <c r="E173" s="120">
        <v>2255</v>
      </c>
      <c r="F173" s="121">
        <f t="shared" si="15"/>
        <v>8.804347826086957</v>
      </c>
      <c r="G173" s="120">
        <v>1953</v>
      </c>
      <c r="H173" s="121">
        <f t="shared" si="15"/>
        <v>-0.13392461197339245</v>
      </c>
      <c r="I173" s="120">
        <v>2171</v>
      </c>
      <c r="J173" s="121">
        <f t="shared" si="15"/>
        <v>0.11162314388120831</v>
      </c>
      <c r="K173" s="120">
        <v>2133</v>
      </c>
      <c r="L173" s="121">
        <f t="shared" si="15"/>
        <v>-1.7503454629203108E-2</v>
      </c>
      <c r="M173" s="120">
        <v>2683</v>
      </c>
      <c r="N173" s="121">
        <f t="shared" si="16"/>
        <v>0.2578527894983591</v>
      </c>
    </row>
    <row r="174" spans="2:14" x14ac:dyDescent="0.25">
      <c r="B174" s="119" t="s">
        <v>96</v>
      </c>
      <c r="C174" s="120">
        <v>723</v>
      </c>
      <c r="D174" s="121">
        <v>-0.59129451667608812</v>
      </c>
      <c r="E174" s="120">
        <v>2325</v>
      </c>
      <c r="F174" s="121">
        <f t="shared" si="15"/>
        <v>2.2157676348547719</v>
      </c>
      <c r="G174" s="120">
        <v>2681</v>
      </c>
      <c r="H174" s="121">
        <f t="shared" si="15"/>
        <v>0.15311827956989243</v>
      </c>
      <c r="I174" s="120">
        <v>2053</v>
      </c>
      <c r="J174" s="121">
        <f t="shared" si="15"/>
        <v>-0.23424095486758667</v>
      </c>
      <c r="K174" s="120">
        <v>2212</v>
      </c>
      <c r="L174" s="121">
        <f t="shared" si="15"/>
        <v>7.7447637603507147E-2</v>
      </c>
      <c r="M174" s="120">
        <v>2738</v>
      </c>
      <c r="N174" s="121">
        <f t="shared" si="16"/>
        <v>0.23779385171790235</v>
      </c>
    </row>
    <row r="175" spans="2:14" ht="15.75" x14ac:dyDescent="0.25">
      <c r="B175" s="122" t="s">
        <v>33</v>
      </c>
      <c r="C175" s="123">
        <v>9702</v>
      </c>
      <c r="D175" s="124">
        <v>-0.60245851259987715</v>
      </c>
      <c r="E175" s="123">
        <v>19919</v>
      </c>
      <c r="F175" s="124">
        <f t="shared" si="15"/>
        <v>1.0530818387961247</v>
      </c>
      <c r="G175" s="123">
        <v>27268</v>
      </c>
      <c r="H175" s="124">
        <f t="shared" si="15"/>
        <v>0.36894422410763594</v>
      </c>
      <c r="I175" s="123">
        <v>28878</v>
      </c>
      <c r="J175" s="124">
        <f t="shared" si="15"/>
        <v>5.904356755170892E-2</v>
      </c>
      <c r="K175" s="123">
        <v>29098</v>
      </c>
      <c r="L175" s="124">
        <f t="shared" si="15"/>
        <v>7.6182561119191305E-3</v>
      </c>
      <c r="M175" s="123">
        <v>32407</v>
      </c>
      <c r="N175" s="124">
        <v>0.11371915595573578</v>
      </c>
    </row>
    <row r="176" spans="2:14" ht="6" customHeight="1" x14ac:dyDescent="0.25"/>
    <row r="177" spans="1:15" x14ac:dyDescent="0.25">
      <c r="B177" s="107" t="s">
        <v>58</v>
      </c>
      <c r="C177" s="107"/>
      <c r="D177" s="107"/>
      <c r="E177" s="107"/>
      <c r="F177" s="107"/>
      <c r="G177" s="107"/>
      <c r="H177" s="107"/>
      <c r="I177" s="107"/>
      <c r="J177" s="107"/>
      <c r="K177" s="129"/>
      <c r="L177" s="107"/>
      <c r="M177" s="107"/>
      <c r="N177" s="107"/>
    </row>
    <row r="180" spans="1:15" ht="48.75" customHeight="1" thickBot="1" x14ac:dyDescent="0.3">
      <c r="B180" s="283" t="s">
        <v>249</v>
      </c>
      <c r="C180" s="283"/>
      <c r="D180" s="283"/>
      <c r="E180" s="283"/>
      <c r="F180" s="283"/>
      <c r="G180" s="283"/>
      <c r="H180" s="283"/>
      <c r="I180" s="283"/>
      <c r="J180" s="283"/>
      <c r="K180" s="283"/>
      <c r="L180" s="283"/>
      <c r="M180" s="283"/>
      <c r="N180" s="283"/>
      <c r="O180" s="1" t="s">
        <v>120</v>
      </c>
    </row>
    <row r="181" spans="1:15" ht="10.5" customHeight="1" thickBot="1" x14ac:dyDescent="0.3">
      <c r="B181" s="108"/>
      <c r="C181" s="109"/>
      <c r="D181" s="108"/>
      <c r="E181" s="108"/>
      <c r="F181" s="108"/>
      <c r="G181" s="108"/>
      <c r="H181" s="108"/>
      <c r="I181" s="108"/>
      <c r="J181" s="108"/>
      <c r="K181" s="108"/>
      <c r="L181" s="108"/>
      <c r="M181" s="4"/>
      <c r="N181" s="4"/>
      <c r="O181" s="1" t="s">
        <v>121</v>
      </c>
    </row>
    <row r="182" spans="1:15" ht="22.5" thickTop="1" thickBot="1" x14ac:dyDescent="0.3">
      <c r="B182" s="126" t="str">
        <f>C182</f>
        <v>Bélgica</v>
      </c>
      <c r="C182" s="305" t="s">
        <v>122</v>
      </c>
      <c r="D182" s="306"/>
      <c r="E182" s="306"/>
      <c r="F182" s="306"/>
      <c r="G182" s="306"/>
      <c r="H182" s="306"/>
      <c r="I182" s="306"/>
      <c r="J182" s="306"/>
      <c r="K182" s="306"/>
      <c r="L182" s="306"/>
      <c r="M182" s="306"/>
      <c r="N182" s="306"/>
    </row>
    <row r="183" spans="1:15" ht="22.5" thickTop="1" thickBot="1" x14ac:dyDescent="0.3">
      <c r="B183" s="111"/>
      <c r="C183" s="307">
        <f>C$7</f>
        <v>2020</v>
      </c>
      <c r="D183" s="308"/>
      <c r="E183" s="307">
        <f>E$7</f>
        <v>2021</v>
      </c>
      <c r="F183" s="308"/>
      <c r="G183" s="307">
        <f>G$7</f>
        <v>2022</v>
      </c>
      <c r="H183" s="308"/>
      <c r="I183" s="307">
        <f>I$7</f>
        <v>2023</v>
      </c>
      <c r="J183" s="308"/>
      <c r="K183" s="307">
        <f>K$7</f>
        <v>2024</v>
      </c>
      <c r="L183" s="308"/>
      <c r="M183" s="307">
        <f>M$7</f>
        <v>2025</v>
      </c>
      <c r="N183" s="308"/>
    </row>
    <row r="184" spans="1:15" ht="16.5" thickTop="1" thickBot="1" x14ac:dyDescent="0.3">
      <c r="B184" s="87"/>
      <c r="C184" s="116" t="s">
        <v>72</v>
      </c>
      <c r="D184" s="117" t="str">
        <f>CONCATENATE("var ",RIGHT(C183,2),"/",RIGHT(C183-1,2))</f>
        <v>var 20/19</v>
      </c>
      <c r="E184" s="118" t="s">
        <v>72</v>
      </c>
      <c r="F184" s="117" t="str">
        <f>CONCATENATE("var ",RIGHT(E183,2),"/",RIGHT(E183-1,2))</f>
        <v>var 21/20</v>
      </c>
      <c r="G184" s="118" t="s">
        <v>72</v>
      </c>
      <c r="H184" s="117" t="str">
        <f>CONCATENATE("var ",RIGHT(G183,2),"/",RIGHT(G183-1,2))</f>
        <v>var 22/21</v>
      </c>
      <c r="I184" s="118" t="s">
        <v>72</v>
      </c>
      <c r="J184" s="117" t="str">
        <f>CONCATENATE("var ",RIGHT(I183,2),"/",RIGHT(I183-1,2))</f>
        <v>var 23/22</v>
      </c>
      <c r="K184" s="118" t="s">
        <v>72</v>
      </c>
      <c r="L184" s="117" t="str">
        <f>CONCATENATE("var ",RIGHT(K183,2),"/",RIGHT(K183-1,2))</f>
        <v>var 24/23</v>
      </c>
      <c r="M184" s="118" t="s">
        <v>72</v>
      </c>
      <c r="N184" s="117" t="str">
        <f>CONCATENATE("var ",RIGHT(M183,2),"/",RIGHT(M183-1,2))</f>
        <v>var 25/24</v>
      </c>
    </row>
    <row r="185" spans="1:15" x14ac:dyDescent="0.25">
      <c r="A185" s="125"/>
      <c r="B185" s="119" t="s">
        <v>74</v>
      </c>
      <c r="C185" s="120">
        <v>4296</v>
      </c>
      <c r="D185" s="121">
        <v>0.11208904996116997</v>
      </c>
      <c r="E185" s="120">
        <v>284</v>
      </c>
      <c r="F185" s="121">
        <f t="shared" ref="F185:L197" si="17">IFERROR(E185/C185-1,"-")</f>
        <v>-0.93389199255121047</v>
      </c>
      <c r="G185" s="120">
        <v>2729</v>
      </c>
      <c r="H185" s="121">
        <f t="shared" si="17"/>
        <v>8.6091549295774641</v>
      </c>
      <c r="I185" s="120">
        <v>4058</v>
      </c>
      <c r="J185" s="121">
        <f t="shared" si="17"/>
        <v>0.48699157200439713</v>
      </c>
      <c r="K185" s="120">
        <v>4254</v>
      </c>
      <c r="L185" s="121">
        <f t="shared" si="17"/>
        <v>4.8299655002464359E-2</v>
      </c>
      <c r="M185" s="120">
        <v>3018</v>
      </c>
      <c r="N185" s="121">
        <f t="shared" ref="N185:N196" si="18">IFERROR(M185/K185-1,"-")</f>
        <v>-0.29055007052186177</v>
      </c>
    </row>
    <row r="186" spans="1:15" x14ac:dyDescent="0.25">
      <c r="B186" s="119" t="s">
        <v>76</v>
      </c>
      <c r="C186" s="120">
        <v>3387</v>
      </c>
      <c r="D186" s="121">
        <v>0.21922246220302366</v>
      </c>
      <c r="E186" s="120">
        <v>59</v>
      </c>
      <c r="F186" s="121">
        <f t="shared" si="17"/>
        <v>-0.98258045467965749</v>
      </c>
      <c r="G186" s="120">
        <v>3069</v>
      </c>
      <c r="H186" s="121">
        <f t="shared" si="17"/>
        <v>51.016949152542374</v>
      </c>
      <c r="I186" s="120">
        <v>3219</v>
      </c>
      <c r="J186" s="121">
        <f t="shared" si="17"/>
        <v>4.8875855327468187E-2</v>
      </c>
      <c r="K186" s="120">
        <v>3831</v>
      </c>
      <c r="L186" s="121">
        <f t="shared" si="17"/>
        <v>0.19012115563839704</v>
      </c>
      <c r="M186" s="120">
        <v>3089</v>
      </c>
      <c r="N186" s="121">
        <f t="shared" si="18"/>
        <v>-0.19368311145914907</v>
      </c>
    </row>
    <row r="187" spans="1:15" x14ac:dyDescent="0.25">
      <c r="B187" s="119" t="s">
        <v>78</v>
      </c>
      <c r="C187" s="120">
        <v>1344</v>
      </c>
      <c r="D187" s="121">
        <v>-0.61501002578057862</v>
      </c>
      <c r="E187" s="120">
        <v>65</v>
      </c>
      <c r="F187" s="121">
        <f t="shared" si="17"/>
        <v>-0.95163690476190477</v>
      </c>
      <c r="G187" s="120">
        <v>3012</v>
      </c>
      <c r="H187" s="121">
        <f t="shared" si="17"/>
        <v>45.338461538461537</v>
      </c>
      <c r="I187" s="120">
        <v>2822</v>
      </c>
      <c r="J187" s="121">
        <f t="shared" si="17"/>
        <v>-6.3081009296148793E-2</v>
      </c>
      <c r="K187" s="120">
        <v>3770</v>
      </c>
      <c r="L187" s="121">
        <f t="shared" si="17"/>
        <v>0.33593196314670437</v>
      </c>
      <c r="M187" s="120">
        <v>3351</v>
      </c>
      <c r="N187" s="121">
        <f t="shared" si="18"/>
        <v>-0.11114058355437662</v>
      </c>
    </row>
    <row r="188" spans="1:15" x14ac:dyDescent="0.25">
      <c r="B188" s="119" t="s">
        <v>80</v>
      </c>
      <c r="C188" s="120">
        <v>0</v>
      </c>
      <c r="D188" s="121">
        <v>-1</v>
      </c>
      <c r="E188" s="120">
        <v>181</v>
      </c>
      <c r="F188" s="121" t="str">
        <f t="shared" si="17"/>
        <v>-</v>
      </c>
      <c r="G188" s="120">
        <v>3784</v>
      </c>
      <c r="H188" s="121">
        <f t="shared" si="17"/>
        <v>19.906077348066297</v>
      </c>
      <c r="I188" s="120">
        <v>3844</v>
      </c>
      <c r="J188" s="121">
        <f t="shared" si="17"/>
        <v>1.5856236786469413E-2</v>
      </c>
      <c r="K188" s="120">
        <v>4173</v>
      </c>
      <c r="L188" s="121">
        <f t="shared" si="17"/>
        <v>8.5587929240374505E-2</v>
      </c>
      <c r="M188" s="120">
        <v>2803</v>
      </c>
      <c r="N188" s="121">
        <f t="shared" si="18"/>
        <v>-0.32830098250659001</v>
      </c>
    </row>
    <row r="189" spans="1:15" x14ac:dyDescent="0.25">
      <c r="B189" s="119" t="s">
        <v>82</v>
      </c>
      <c r="C189" s="120">
        <v>0</v>
      </c>
      <c r="D189" s="121">
        <v>-1</v>
      </c>
      <c r="E189" s="120">
        <v>520</v>
      </c>
      <c r="F189" s="121" t="str">
        <f t="shared" si="17"/>
        <v>-</v>
      </c>
      <c r="G189" s="120">
        <v>2653</v>
      </c>
      <c r="H189" s="121">
        <f t="shared" si="17"/>
        <v>4.101923076923077</v>
      </c>
      <c r="I189" s="120">
        <v>3384</v>
      </c>
      <c r="J189" s="121">
        <f t="shared" si="17"/>
        <v>0.27553712777987194</v>
      </c>
      <c r="K189" s="120">
        <v>3296</v>
      </c>
      <c r="L189" s="121">
        <f t="shared" si="17"/>
        <v>-2.6004728132387744E-2</v>
      </c>
      <c r="M189" s="120">
        <v>3239</v>
      </c>
      <c r="N189" s="121">
        <f t="shared" si="18"/>
        <v>-1.7293689320388328E-2</v>
      </c>
    </row>
    <row r="190" spans="1:15" x14ac:dyDescent="0.25">
      <c r="B190" s="119" t="s">
        <v>123</v>
      </c>
      <c r="C190" s="120">
        <v>0</v>
      </c>
      <c r="D190" s="121">
        <v>-1</v>
      </c>
      <c r="E190" s="120">
        <v>1266</v>
      </c>
      <c r="F190" s="121" t="str">
        <f t="shared" si="17"/>
        <v>-</v>
      </c>
      <c r="G190" s="120">
        <v>2511</v>
      </c>
      <c r="H190" s="121">
        <f t="shared" si="17"/>
        <v>0.98341232227488162</v>
      </c>
      <c r="I190" s="120">
        <v>2974</v>
      </c>
      <c r="J190" s="121">
        <f t="shared" si="17"/>
        <v>0.18438868976503375</v>
      </c>
      <c r="K190" s="120">
        <v>2680</v>
      </c>
      <c r="L190" s="121">
        <f t="shared" si="17"/>
        <v>-9.8856758574310644E-2</v>
      </c>
      <c r="M190" s="120">
        <v>2876</v>
      </c>
      <c r="N190" s="121">
        <f t="shared" si="18"/>
        <v>7.3134328358208878E-2</v>
      </c>
    </row>
    <row r="191" spans="1:15" x14ac:dyDescent="0.25">
      <c r="B191" s="119" t="s">
        <v>86</v>
      </c>
      <c r="C191" s="120">
        <v>0</v>
      </c>
      <c r="D191" s="121">
        <v>-1</v>
      </c>
      <c r="E191" s="120">
        <v>2128</v>
      </c>
      <c r="F191" s="121" t="str">
        <f t="shared" si="17"/>
        <v>-</v>
      </c>
      <c r="G191" s="120">
        <v>3593</v>
      </c>
      <c r="H191" s="121">
        <f t="shared" si="17"/>
        <v>0.68843984962406024</v>
      </c>
      <c r="I191" s="120">
        <v>4010</v>
      </c>
      <c r="J191" s="121">
        <f t="shared" si="17"/>
        <v>0.11605900361814636</v>
      </c>
      <c r="K191" s="120">
        <v>4277</v>
      </c>
      <c r="L191" s="121">
        <f t="shared" si="17"/>
        <v>6.6583541147132275E-2</v>
      </c>
      <c r="M191" s="120">
        <v>3871</v>
      </c>
      <c r="N191" s="121">
        <f t="shared" si="18"/>
        <v>-9.4926350245499225E-2</v>
      </c>
    </row>
    <row r="192" spans="1:15" x14ac:dyDescent="0.25">
      <c r="B192" s="119" t="s">
        <v>88</v>
      </c>
      <c r="C192" s="120">
        <v>1493</v>
      </c>
      <c r="D192" s="121">
        <v>-0.50888157894736841</v>
      </c>
      <c r="E192" s="120">
        <v>2402</v>
      </c>
      <c r="F192" s="121">
        <f t="shared" si="17"/>
        <v>0.60884125920964505</v>
      </c>
      <c r="G192" s="120">
        <v>2717</v>
      </c>
      <c r="H192" s="121">
        <f t="shared" si="17"/>
        <v>0.13114071606994182</v>
      </c>
      <c r="I192" s="120">
        <v>3806</v>
      </c>
      <c r="J192" s="121">
        <f t="shared" si="17"/>
        <v>0.40080971659919018</v>
      </c>
      <c r="K192" s="120">
        <v>3503</v>
      </c>
      <c r="L192" s="121">
        <f t="shared" si="17"/>
        <v>-7.9611140304781891E-2</v>
      </c>
      <c r="M192" s="120">
        <v>3638</v>
      </c>
      <c r="N192" s="121">
        <f t="shared" si="18"/>
        <v>3.8538395660862035E-2</v>
      </c>
    </row>
    <row r="193" spans="2:15" x14ac:dyDescent="0.25">
      <c r="B193" s="119" t="s">
        <v>90</v>
      </c>
      <c r="C193" s="120">
        <v>2218</v>
      </c>
      <c r="D193" s="121">
        <v>-0.36718972895863056</v>
      </c>
      <c r="E193" s="120">
        <v>3200</v>
      </c>
      <c r="F193" s="121">
        <f t="shared" si="17"/>
        <v>0.44274120829576202</v>
      </c>
      <c r="G193" s="120">
        <v>3335</v>
      </c>
      <c r="H193" s="121">
        <f t="shared" si="17"/>
        <v>4.2187500000000044E-2</v>
      </c>
      <c r="I193" s="120">
        <v>3714</v>
      </c>
      <c r="J193" s="121">
        <f t="shared" si="17"/>
        <v>0.11364317841079452</v>
      </c>
      <c r="K193" s="120">
        <v>3091</v>
      </c>
      <c r="L193" s="121">
        <f t="shared" si="17"/>
        <v>-0.16774367259019929</v>
      </c>
      <c r="M193" s="120">
        <v>3541</v>
      </c>
      <c r="N193" s="121">
        <f t="shared" si="18"/>
        <v>0.1455839534131349</v>
      </c>
    </row>
    <row r="194" spans="2:15" x14ac:dyDescent="0.25">
      <c r="B194" s="119" t="s">
        <v>92</v>
      </c>
      <c r="C194" s="120">
        <v>848</v>
      </c>
      <c r="D194" s="121">
        <v>-0.76385407964355334</v>
      </c>
      <c r="E194" s="120">
        <v>4609</v>
      </c>
      <c r="F194" s="121">
        <f t="shared" si="17"/>
        <v>4.4351415094339623</v>
      </c>
      <c r="G194" s="120">
        <v>3802</v>
      </c>
      <c r="H194" s="121">
        <f t="shared" si="17"/>
        <v>-0.17509221089173355</v>
      </c>
      <c r="I194" s="120">
        <v>4250</v>
      </c>
      <c r="J194" s="121">
        <f t="shared" si="17"/>
        <v>0.11783271962125208</v>
      </c>
      <c r="K194" s="120">
        <v>3949</v>
      </c>
      <c r="L194" s="121">
        <f t="shared" si="17"/>
        <v>-7.082352941176473E-2</v>
      </c>
      <c r="M194" s="120">
        <v>3943</v>
      </c>
      <c r="N194" s="121">
        <f t="shared" si="18"/>
        <v>-1.519371992909635E-3</v>
      </c>
    </row>
    <row r="195" spans="2:15" x14ac:dyDescent="0.25">
      <c r="B195" s="119" t="s">
        <v>94</v>
      </c>
      <c r="C195" s="120">
        <v>437</v>
      </c>
      <c r="D195" s="121">
        <v>-0.88690476190476186</v>
      </c>
      <c r="E195" s="120">
        <v>4138</v>
      </c>
      <c r="F195" s="121">
        <f t="shared" si="17"/>
        <v>8.469107551487415</v>
      </c>
      <c r="G195" s="120">
        <v>3396</v>
      </c>
      <c r="H195" s="121">
        <f t="shared" si="17"/>
        <v>-0.17931367810536492</v>
      </c>
      <c r="I195" s="120">
        <v>3688</v>
      </c>
      <c r="J195" s="121">
        <f t="shared" si="17"/>
        <v>8.5983510011778508E-2</v>
      </c>
      <c r="K195" s="120">
        <v>3573</v>
      </c>
      <c r="L195" s="121">
        <f t="shared" si="17"/>
        <v>-3.1182212581344904E-2</v>
      </c>
      <c r="M195" s="120">
        <v>4143</v>
      </c>
      <c r="N195" s="121">
        <f t="shared" si="18"/>
        <v>0.15952980688497065</v>
      </c>
    </row>
    <row r="196" spans="2:15" x14ac:dyDescent="0.25">
      <c r="B196" s="119" t="s">
        <v>96</v>
      </c>
      <c r="C196" s="120">
        <v>554</v>
      </c>
      <c r="D196" s="121">
        <v>-0.86448140900195691</v>
      </c>
      <c r="E196" s="120">
        <v>3955</v>
      </c>
      <c r="F196" s="121">
        <f t="shared" si="17"/>
        <v>6.1389891696750905</v>
      </c>
      <c r="G196" s="120">
        <v>4166</v>
      </c>
      <c r="H196" s="121">
        <f t="shared" si="17"/>
        <v>5.3350189633375456E-2</v>
      </c>
      <c r="I196" s="120">
        <v>4414</v>
      </c>
      <c r="J196" s="121">
        <f t="shared" si="17"/>
        <v>5.9529524723955785E-2</v>
      </c>
      <c r="K196" s="120">
        <v>4236</v>
      </c>
      <c r="L196" s="121">
        <f t="shared" si="17"/>
        <v>-4.0326234707748099E-2</v>
      </c>
      <c r="M196" s="120">
        <v>3677</v>
      </c>
      <c r="N196" s="121">
        <f t="shared" si="18"/>
        <v>-0.13196411709159583</v>
      </c>
    </row>
    <row r="197" spans="2:15" ht="15.75" x14ac:dyDescent="0.25">
      <c r="B197" s="122" t="s">
        <v>33</v>
      </c>
      <c r="C197" s="123">
        <v>15534</v>
      </c>
      <c r="D197" s="124">
        <v>-0.62297946701616425</v>
      </c>
      <c r="E197" s="123">
        <v>22807</v>
      </c>
      <c r="F197" s="124">
        <f t="shared" si="17"/>
        <v>0.46819878975151275</v>
      </c>
      <c r="G197" s="123">
        <v>38767</v>
      </c>
      <c r="H197" s="124">
        <f t="shared" si="17"/>
        <v>0.69978515368088745</v>
      </c>
      <c r="I197" s="123">
        <v>44183</v>
      </c>
      <c r="J197" s="124">
        <f t="shared" si="17"/>
        <v>0.13970645136327287</v>
      </c>
      <c r="K197" s="123">
        <v>44633</v>
      </c>
      <c r="L197" s="124">
        <f t="shared" si="17"/>
        <v>1.0184912749247488E-2</v>
      </c>
      <c r="M197" s="123">
        <v>41189</v>
      </c>
      <c r="N197" s="124">
        <v>-7.7162637510362342E-2</v>
      </c>
    </row>
    <row r="198" spans="2:15" ht="6" customHeight="1" x14ac:dyDescent="0.25"/>
    <row r="199" spans="2:15" x14ac:dyDescent="0.25">
      <c r="B199" s="107" t="s">
        <v>58</v>
      </c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</row>
    <row r="200" spans="2:15" x14ac:dyDescent="0.25">
      <c r="K200" s="125"/>
    </row>
    <row r="201" spans="2:15" x14ac:dyDescent="0.25"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2:15" ht="48.75" customHeight="1" thickBot="1" x14ac:dyDescent="0.3">
      <c r="B202" s="283" t="s">
        <v>250</v>
      </c>
      <c r="C202" s="283"/>
      <c r="D202" s="283"/>
      <c r="E202" s="283"/>
      <c r="F202" s="283"/>
      <c r="G202" s="283"/>
      <c r="H202" s="283"/>
      <c r="I202" s="283"/>
      <c r="J202" s="283"/>
      <c r="K202" s="283"/>
      <c r="L202" s="283"/>
      <c r="M202" s="283"/>
      <c r="N202" s="283"/>
      <c r="O202" s="1" t="s">
        <v>124</v>
      </c>
    </row>
    <row r="203" spans="2:15" ht="10.5" customHeight="1" thickBot="1" x14ac:dyDescent="0.3">
      <c r="B203" s="108"/>
      <c r="C203" s="109"/>
      <c r="D203" s="108"/>
      <c r="E203" s="108"/>
      <c r="F203" s="108"/>
      <c r="G203" s="108"/>
      <c r="H203" s="108"/>
      <c r="I203" s="108"/>
      <c r="J203" s="108"/>
      <c r="K203" s="108"/>
      <c r="L203" s="108"/>
      <c r="M203" s="4"/>
      <c r="N203" s="4"/>
      <c r="O203" s="1" t="s">
        <v>125</v>
      </c>
    </row>
    <row r="204" spans="2:15" ht="22.5" thickTop="1" thickBot="1" x14ac:dyDescent="0.3">
      <c r="B204" s="126" t="str">
        <f>C204</f>
        <v>Países Bajos</v>
      </c>
      <c r="C204" s="305" t="s">
        <v>126</v>
      </c>
      <c r="D204" s="306"/>
      <c r="E204" s="306"/>
      <c r="F204" s="306"/>
      <c r="G204" s="306"/>
      <c r="H204" s="306"/>
      <c r="I204" s="306"/>
      <c r="J204" s="306"/>
      <c r="K204" s="306"/>
      <c r="L204" s="306"/>
      <c r="M204" s="306"/>
      <c r="N204" s="306"/>
    </row>
    <row r="205" spans="2:15" ht="22.5" thickTop="1" thickBot="1" x14ac:dyDescent="0.3">
      <c r="B205" s="111"/>
      <c r="C205" s="307">
        <f>C$7</f>
        <v>2020</v>
      </c>
      <c r="D205" s="308"/>
      <c r="E205" s="307">
        <f>E$7</f>
        <v>2021</v>
      </c>
      <c r="F205" s="308"/>
      <c r="G205" s="307">
        <f>G$7</f>
        <v>2022</v>
      </c>
      <c r="H205" s="308"/>
      <c r="I205" s="307">
        <f>I$7</f>
        <v>2023</v>
      </c>
      <c r="J205" s="308"/>
      <c r="K205" s="307">
        <f>K$7</f>
        <v>2024</v>
      </c>
      <c r="L205" s="308"/>
      <c r="M205" s="307">
        <f>M$7</f>
        <v>2025</v>
      </c>
      <c r="N205" s="308"/>
    </row>
    <row r="206" spans="2:15" ht="16.5" thickTop="1" thickBot="1" x14ac:dyDescent="0.3">
      <c r="B206" s="87"/>
      <c r="C206" s="116" t="s">
        <v>72</v>
      </c>
      <c r="D206" s="117" t="str">
        <f>CONCATENATE("var ",RIGHT(C205,2),"/",RIGHT(C205-1,2))</f>
        <v>var 20/19</v>
      </c>
      <c r="E206" s="118" t="s">
        <v>72</v>
      </c>
      <c r="F206" s="117" t="str">
        <f>CONCATENATE("var ",RIGHT(E205,2),"/",RIGHT(E205-1,2))</f>
        <v>var 21/20</v>
      </c>
      <c r="G206" s="118" t="s">
        <v>72</v>
      </c>
      <c r="H206" s="117" t="str">
        <f>CONCATENATE("var ",RIGHT(G205,2),"/",RIGHT(G205-1,2))</f>
        <v>var 22/21</v>
      </c>
      <c r="I206" s="118" t="s">
        <v>72</v>
      </c>
      <c r="J206" s="117" t="str">
        <f>CONCATENATE("var ",RIGHT(I205,2),"/",RIGHT(I205-1,2))</f>
        <v>var 23/22</v>
      </c>
      <c r="K206" s="118" t="s">
        <v>72</v>
      </c>
      <c r="L206" s="117" t="str">
        <f>CONCATENATE("var ",RIGHT(K205,2),"/",RIGHT(K205-1,2))</f>
        <v>var 24/23</v>
      </c>
      <c r="M206" s="118" t="s">
        <v>72</v>
      </c>
      <c r="N206" s="117" t="str">
        <f>CONCATENATE("var ",RIGHT(M205,2),"/",RIGHT(M205-1,2))</f>
        <v>var 25/24</v>
      </c>
    </row>
    <row r="207" spans="2:15" x14ac:dyDescent="0.25">
      <c r="B207" s="119" t="s">
        <v>74</v>
      </c>
      <c r="C207" s="120">
        <v>4476</v>
      </c>
      <c r="D207" s="121">
        <v>0.13460076045627378</v>
      </c>
      <c r="E207" s="120">
        <v>187</v>
      </c>
      <c r="F207" s="121">
        <f t="shared" ref="F207:L219" si="19">IFERROR(E207/C207-1,"-")</f>
        <v>-0.95822162645218945</v>
      </c>
      <c r="G207" s="120">
        <v>4334</v>
      </c>
      <c r="H207" s="121">
        <f t="shared" si="19"/>
        <v>22.176470588235293</v>
      </c>
      <c r="I207" s="120">
        <v>4245</v>
      </c>
      <c r="J207" s="121">
        <f t="shared" si="19"/>
        <v>-2.0535302261190602E-2</v>
      </c>
      <c r="K207" s="120">
        <v>4309</v>
      </c>
      <c r="L207" s="121">
        <f t="shared" si="19"/>
        <v>1.5076560659599503E-2</v>
      </c>
      <c r="M207" s="120">
        <v>3827</v>
      </c>
      <c r="N207" s="121">
        <f t="shared" ref="N207:N218" si="20">IFERROR(M207/K207-1,"-")</f>
        <v>-0.11185889997679277</v>
      </c>
    </row>
    <row r="208" spans="2:15" x14ac:dyDescent="0.25">
      <c r="B208" s="119" t="s">
        <v>76</v>
      </c>
      <c r="C208" s="120">
        <v>4291</v>
      </c>
      <c r="D208" s="121">
        <v>-8.7780087780088278E-3</v>
      </c>
      <c r="E208" s="120">
        <v>158</v>
      </c>
      <c r="F208" s="121">
        <f t="shared" si="19"/>
        <v>-0.96317874621300392</v>
      </c>
      <c r="G208" s="120">
        <v>4319</v>
      </c>
      <c r="H208" s="121">
        <f t="shared" si="19"/>
        <v>26.335443037974684</v>
      </c>
      <c r="I208" s="120">
        <v>4506</v>
      </c>
      <c r="J208" s="121">
        <f t="shared" si="19"/>
        <v>4.3297059504515012E-2</v>
      </c>
      <c r="K208" s="120">
        <v>4862</v>
      </c>
      <c r="L208" s="121">
        <f t="shared" si="19"/>
        <v>7.9005770084332072E-2</v>
      </c>
      <c r="M208" s="120">
        <v>4791</v>
      </c>
      <c r="N208" s="121">
        <f t="shared" si="20"/>
        <v>-1.4603044014808719E-2</v>
      </c>
    </row>
    <row r="209" spans="2:15" x14ac:dyDescent="0.25">
      <c r="B209" s="119" t="s">
        <v>78</v>
      </c>
      <c r="C209" s="120">
        <v>1680</v>
      </c>
      <c r="D209" s="121">
        <v>-0.61774744027303752</v>
      </c>
      <c r="E209" s="120">
        <v>128</v>
      </c>
      <c r="F209" s="121">
        <f t="shared" si="19"/>
        <v>-0.92380952380952386</v>
      </c>
      <c r="G209" s="120">
        <v>4676</v>
      </c>
      <c r="H209" s="121">
        <f t="shared" si="19"/>
        <v>35.53125</v>
      </c>
      <c r="I209" s="120">
        <v>3660</v>
      </c>
      <c r="J209" s="121">
        <f t="shared" si="19"/>
        <v>-0.21727972626176217</v>
      </c>
      <c r="K209" s="120">
        <v>3687</v>
      </c>
      <c r="L209" s="121">
        <f t="shared" si="19"/>
        <v>7.3770491803277771E-3</v>
      </c>
      <c r="M209" s="120">
        <v>4448</v>
      </c>
      <c r="N209" s="121">
        <f t="shared" si="20"/>
        <v>0.20640086791429346</v>
      </c>
    </row>
    <row r="210" spans="2:15" x14ac:dyDescent="0.25">
      <c r="B210" s="119" t="s">
        <v>80</v>
      </c>
      <c r="C210" s="120">
        <v>0</v>
      </c>
      <c r="D210" s="121">
        <v>-1</v>
      </c>
      <c r="E210" s="120">
        <v>98</v>
      </c>
      <c r="F210" s="121" t="str">
        <f t="shared" si="19"/>
        <v>-</v>
      </c>
      <c r="G210" s="120">
        <v>6026</v>
      </c>
      <c r="H210" s="121">
        <f t="shared" si="19"/>
        <v>60.489795918367349</v>
      </c>
      <c r="I210" s="120">
        <v>5451</v>
      </c>
      <c r="J210" s="121">
        <f t="shared" si="19"/>
        <v>-9.5419847328244267E-2</v>
      </c>
      <c r="K210" s="120">
        <v>5828</v>
      </c>
      <c r="L210" s="121">
        <f t="shared" si="19"/>
        <v>6.9161621720785105E-2</v>
      </c>
      <c r="M210" s="120">
        <v>4484</v>
      </c>
      <c r="N210" s="121">
        <f t="shared" si="20"/>
        <v>-0.23061084420041178</v>
      </c>
    </row>
    <row r="211" spans="2:15" x14ac:dyDescent="0.25">
      <c r="B211" s="119" t="s">
        <v>82</v>
      </c>
      <c r="C211" s="120">
        <v>0</v>
      </c>
      <c r="D211" s="121">
        <v>-1</v>
      </c>
      <c r="E211" s="120">
        <v>399</v>
      </c>
      <c r="F211" s="121" t="str">
        <f t="shared" si="19"/>
        <v>-</v>
      </c>
      <c r="G211" s="120">
        <v>5608</v>
      </c>
      <c r="H211" s="121">
        <f t="shared" si="19"/>
        <v>13.055137844611529</v>
      </c>
      <c r="I211" s="120">
        <v>3597</v>
      </c>
      <c r="J211" s="121">
        <f t="shared" si="19"/>
        <v>-0.35859486447931521</v>
      </c>
      <c r="K211" s="120">
        <v>4917</v>
      </c>
      <c r="L211" s="121">
        <f t="shared" si="19"/>
        <v>0.3669724770642202</v>
      </c>
      <c r="M211" s="120">
        <v>3588</v>
      </c>
      <c r="N211" s="121">
        <f t="shared" si="20"/>
        <v>-0.27028676021964615</v>
      </c>
    </row>
    <row r="212" spans="2:15" x14ac:dyDescent="0.25">
      <c r="B212" s="119" t="s">
        <v>84</v>
      </c>
      <c r="C212" s="120">
        <v>0</v>
      </c>
      <c r="D212" s="121">
        <v>-1</v>
      </c>
      <c r="E212" s="120">
        <v>2167</v>
      </c>
      <c r="F212" s="121" t="str">
        <f t="shared" si="19"/>
        <v>-</v>
      </c>
      <c r="G212" s="120">
        <v>4084</v>
      </c>
      <c r="H212" s="121">
        <f t="shared" si="19"/>
        <v>0.88463313336409777</v>
      </c>
      <c r="I212" s="120">
        <v>3985</v>
      </c>
      <c r="J212" s="121">
        <f t="shared" si="19"/>
        <v>-2.4240940254652288E-2</v>
      </c>
      <c r="K212" s="120">
        <v>3969</v>
      </c>
      <c r="L212" s="121">
        <f t="shared" si="19"/>
        <v>-4.0150564617315032E-3</v>
      </c>
      <c r="M212" s="120">
        <v>3539</v>
      </c>
      <c r="N212" s="121">
        <f t="shared" si="20"/>
        <v>-0.10833963214915598</v>
      </c>
    </row>
    <row r="213" spans="2:15" x14ac:dyDescent="0.25">
      <c r="B213" s="119" t="s">
        <v>86</v>
      </c>
      <c r="C213" s="120">
        <v>0</v>
      </c>
      <c r="D213" s="121">
        <v>-1</v>
      </c>
      <c r="E213" s="120">
        <v>2798</v>
      </c>
      <c r="F213" s="121" t="str">
        <f t="shared" si="19"/>
        <v>-</v>
      </c>
      <c r="G213" s="120">
        <v>5544</v>
      </c>
      <c r="H213" s="121">
        <f t="shared" si="19"/>
        <v>0.98141529664045746</v>
      </c>
      <c r="I213" s="120">
        <v>4632</v>
      </c>
      <c r="J213" s="121">
        <f t="shared" si="19"/>
        <v>-0.16450216450216448</v>
      </c>
      <c r="K213" s="120">
        <v>5583</v>
      </c>
      <c r="L213" s="121">
        <f t="shared" si="19"/>
        <v>0.20531088082901561</v>
      </c>
      <c r="M213" s="120">
        <v>5587</v>
      </c>
      <c r="N213" s="121">
        <f t="shared" si="20"/>
        <v>7.1646068422004383E-4</v>
      </c>
    </row>
    <row r="214" spans="2:15" x14ac:dyDescent="0.25">
      <c r="B214" s="119" t="s">
        <v>88</v>
      </c>
      <c r="C214" s="120">
        <v>1495</v>
      </c>
      <c r="D214" s="121">
        <v>-0.76382306477093209</v>
      </c>
      <c r="E214" s="120">
        <v>4124</v>
      </c>
      <c r="F214" s="121">
        <f t="shared" si="19"/>
        <v>1.7585284280936455</v>
      </c>
      <c r="G214" s="120">
        <v>5675</v>
      </c>
      <c r="H214" s="121">
        <f t="shared" si="19"/>
        <v>0.37609117361784672</v>
      </c>
      <c r="I214" s="120">
        <v>6242</v>
      </c>
      <c r="J214" s="121">
        <f t="shared" si="19"/>
        <v>9.9911894273127855E-2</v>
      </c>
      <c r="K214" s="120">
        <v>5700</v>
      </c>
      <c r="L214" s="121">
        <f t="shared" si="19"/>
        <v>-8.6831143864146143E-2</v>
      </c>
      <c r="M214" s="120">
        <v>5462</v>
      </c>
      <c r="N214" s="121">
        <f t="shared" si="20"/>
        <v>-4.1754385964912322E-2</v>
      </c>
    </row>
    <row r="215" spans="2:15" x14ac:dyDescent="0.25">
      <c r="B215" s="119" t="s">
        <v>90</v>
      </c>
      <c r="C215" s="120">
        <v>158</v>
      </c>
      <c r="D215" s="121">
        <v>-0.95909914574165156</v>
      </c>
      <c r="E215" s="120">
        <v>4567</v>
      </c>
      <c r="F215" s="121">
        <f t="shared" si="19"/>
        <v>27.905063291139239</v>
      </c>
      <c r="G215" s="120">
        <v>4984</v>
      </c>
      <c r="H215" s="121">
        <f t="shared" si="19"/>
        <v>9.1307203853733254E-2</v>
      </c>
      <c r="I215" s="120">
        <v>5095</v>
      </c>
      <c r="J215" s="121">
        <f t="shared" si="19"/>
        <v>2.227126805778501E-2</v>
      </c>
      <c r="K215" s="120">
        <v>4458</v>
      </c>
      <c r="L215" s="121">
        <f t="shared" si="19"/>
        <v>-0.1250245338567223</v>
      </c>
      <c r="M215" s="120">
        <v>4443</v>
      </c>
      <c r="N215" s="121">
        <f t="shared" si="20"/>
        <v>-3.3647375504710642E-3</v>
      </c>
    </row>
    <row r="216" spans="2:15" x14ac:dyDescent="0.25">
      <c r="B216" s="119" t="s">
        <v>92</v>
      </c>
      <c r="C216" s="120">
        <v>293</v>
      </c>
      <c r="D216" s="121">
        <v>-0.93619337979094075</v>
      </c>
      <c r="E216" s="120">
        <v>6416</v>
      </c>
      <c r="F216" s="121">
        <f t="shared" si="19"/>
        <v>20.897610921501705</v>
      </c>
      <c r="G216" s="120">
        <v>4122</v>
      </c>
      <c r="H216" s="121">
        <f t="shared" si="19"/>
        <v>-0.35754364089775559</v>
      </c>
      <c r="I216" s="120">
        <v>5150</v>
      </c>
      <c r="J216" s="121">
        <f t="shared" si="19"/>
        <v>0.24939349830179514</v>
      </c>
      <c r="K216" s="120">
        <v>5940</v>
      </c>
      <c r="L216" s="121">
        <f t="shared" si="19"/>
        <v>0.15339805825242725</v>
      </c>
      <c r="M216" s="120">
        <v>4897</v>
      </c>
      <c r="N216" s="121">
        <f t="shared" si="20"/>
        <v>-0.17558922558922563</v>
      </c>
    </row>
    <row r="217" spans="2:15" x14ac:dyDescent="0.25">
      <c r="B217" s="119" t="s">
        <v>94</v>
      </c>
      <c r="C217" s="120">
        <v>655</v>
      </c>
      <c r="D217" s="121">
        <v>-0.82325957906098224</v>
      </c>
      <c r="E217" s="120">
        <v>5036</v>
      </c>
      <c r="F217" s="121">
        <f t="shared" si="19"/>
        <v>6.6885496183206108</v>
      </c>
      <c r="G217" s="120">
        <v>3873</v>
      </c>
      <c r="H217" s="121">
        <f t="shared" si="19"/>
        <v>-0.23093725178713265</v>
      </c>
      <c r="I217" s="120">
        <v>4206</v>
      </c>
      <c r="J217" s="121">
        <f t="shared" si="19"/>
        <v>8.5979860573199174E-2</v>
      </c>
      <c r="K217" s="120">
        <v>4195</v>
      </c>
      <c r="L217" s="121">
        <f t="shared" si="19"/>
        <v>-2.6153114598193028E-3</v>
      </c>
      <c r="M217" s="120">
        <v>4508</v>
      </c>
      <c r="N217" s="121">
        <f t="shared" si="20"/>
        <v>7.4612634088200291E-2</v>
      </c>
    </row>
    <row r="218" spans="2:15" x14ac:dyDescent="0.25">
      <c r="B218" s="119" t="s">
        <v>96</v>
      </c>
      <c r="C218" s="120">
        <v>571</v>
      </c>
      <c r="D218" s="121">
        <v>-0.85048442000523694</v>
      </c>
      <c r="E218" s="120">
        <v>4599</v>
      </c>
      <c r="F218" s="121">
        <f t="shared" si="19"/>
        <v>7.0542907180385281</v>
      </c>
      <c r="G218" s="120">
        <v>3770</v>
      </c>
      <c r="H218" s="121">
        <f t="shared" si="19"/>
        <v>-0.18025657751685153</v>
      </c>
      <c r="I218" s="120">
        <v>4705</v>
      </c>
      <c r="J218" s="121">
        <f t="shared" si="19"/>
        <v>0.24801061007957559</v>
      </c>
      <c r="K218" s="120">
        <v>4450</v>
      </c>
      <c r="L218" s="121">
        <f t="shared" si="19"/>
        <v>-5.4197662061636565E-2</v>
      </c>
      <c r="M218" s="120">
        <v>3950</v>
      </c>
      <c r="N218" s="121">
        <f t="shared" si="20"/>
        <v>-0.11235955056179781</v>
      </c>
    </row>
    <row r="219" spans="2:15" ht="15.75" x14ac:dyDescent="0.25">
      <c r="B219" s="122" t="s">
        <v>33</v>
      </c>
      <c r="C219" s="123">
        <v>15410</v>
      </c>
      <c r="D219" s="124">
        <v>-0.71404713304880318</v>
      </c>
      <c r="E219" s="123">
        <v>30677</v>
      </c>
      <c r="F219" s="124">
        <f t="shared" si="19"/>
        <v>0.99072031148604811</v>
      </c>
      <c r="G219" s="123">
        <v>57015</v>
      </c>
      <c r="H219" s="124">
        <f t="shared" si="19"/>
        <v>0.85855852919125075</v>
      </c>
      <c r="I219" s="123">
        <v>55474</v>
      </c>
      <c r="J219" s="124">
        <f t="shared" si="19"/>
        <v>-2.702797509427346E-2</v>
      </c>
      <c r="K219" s="123">
        <v>57898</v>
      </c>
      <c r="L219" s="124">
        <f t="shared" si="19"/>
        <v>4.3696145942243136E-2</v>
      </c>
      <c r="M219" s="123">
        <v>53524</v>
      </c>
      <c r="N219" s="124">
        <v>-7.5546651006943244E-2</v>
      </c>
    </row>
    <row r="220" spans="2:15" ht="6" customHeight="1" x14ac:dyDescent="0.25"/>
    <row r="221" spans="2:15" x14ac:dyDescent="0.25">
      <c r="B221" s="107" t="s">
        <v>58</v>
      </c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</row>
    <row r="222" spans="2:15" x14ac:dyDescent="0.25">
      <c r="K222" s="125"/>
      <c r="M222" s="127"/>
    </row>
    <row r="224" spans="2:15" ht="48.75" customHeight="1" thickBot="1" x14ac:dyDescent="0.3">
      <c r="B224" s="283" t="s">
        <v>249</v>
      </c>
      <c r="C224" s="283"/>
      <c r="D224" s="283"/>
      <c r="E224" s="283"/>
      <c r="F224" s="283"/>
      <c r="G224" s="283"/>
      <c r="H224" s="283"/>
      <c r="I224" s="283"/>
      <c r="J224" s="283"/>
      <c r="K224" s="283"/>
      <c r="L224" s="283"/>
      <c r="M224" s="283"/>
      <c r="N224" s="283"/>
      <c r="O224" s="1" t="s">
        <v>127</v>
      </c>
    </row>
    <row r="225" spans="2:15" ht="10.5" customHeight="1" thickBot="1" x14ac:dyDescent="0.3">
      <c r="B225" s="108"/>
      <c r="C225" s="109"/>
      <c r="D225" s="108"/>
      <c r="E225" s="108"/>
      <c r="F225" s="108"/>
      <c r="G225" s="108"/>
      <c r="H225" s="108"/>
      <c r="I225" s="108"/>
      <c r="J225" s="108"/>
      <c r="K225" s="108"/>
      <c r="L225" s="108"/>
      <c r="M225" s="4"/>
      <c r="N225" s="4"/>
      <c r="O225" s="1" t="s">
        <v>128</v>
      </c>
    </row>
    <row r="226" spans="2:15" ht="22.5" thickTop="1" thickBot="1" x14ac:dyDescent="0.3">
      <c r="B226" s="126" t="str">
        <f>C226</f>
        <v>Bélgica</v>
      </c>
      <c r="C226" s="305" t="s">
        <v>122</v>
      </c>
      <c r="D226" s="306"/>
      <c r="E226" s="306"/>
      <c r="F226" s="306"/>
      <c r="G226" s="306"/>
      <c r="H226" s="306"/>
      <c r="I226" s="306"/>
      <c r="J226" s="306"/>
      <c r="K226" s="306"/>
      <c r="L226" s="306"/>
      <c r="M226" s="306"/>
      <c r="N226" s="306"/>
    </row>
    <row r="227" spans="2:15" ht="22.5" thickTop="1" thickBot="1" x14ac:dyDescent="0.3">
      <c r="B227" s="111"/>
      <c r="C227" s="307">
        <f>C$7</f>
        <v>2020</v>
      </c>
      <c r="D227" s="308"/>
      <c r="E227" s="307">
        <f>E$7</f>
        <v>2021</v>
      </c>
      <c r="F227" s="308"/>
      <c r="G227" s="307">
        <f>G$7</f>
        <v>2022</v>
      </c>
      <c r="H227" s="308"/>
      <c r="I227" s="307">
        <f>I$7</f>
        <v>2023</v>
      </c>
      <c r="J227" s="308"/>
      <c r="K227" s="307">
        <f>K$7</f>
        <v>2024</v>
      </c>
      <c r="L227" s="308"/>
      <c r="M227" s="307">
        <f>M$7</f>
        <v>2025</v>
      </c>
      <c r="N227" s="308"/>
    </row>
    <row r="228" spans="2:15" ht="16.5" thickTop="1" thickBot="1" x14ac:dyDescent="0.3">
      <c r="B228" s="87"/>
      <c r="C228" s="116" t="s">
        <v>72</v>
      </c>
      <c r="D228" s="117" t="str">
        <f>CONCATENATE("var ",RIGHT(C227,2),"/",RIGHT(C227-1,2))</f>
        <v>var 20/19</v>
      </c>
      <c r="E228" s="118" t="s">
        <v>72</v>
      </c>
      <c r="F228" s="117" t="str">
        <f>CONCATENATE("var ",RIGHT(E227,2),"/",RIGHT(E227-1,2))</f>
        <v>var 21/20</v>
      </c>
      <c r="G228" s="118" t="s">
        <v>72</v>
      </c>
      <c r="H228" s="117" t="str">
        <f>CONCATENATE("var ",RIGHT(G227,2),"/",RIGHT(G227-1,2))</f>
        <v>var 22/21</v>
      </c>
      <c r="I228" s="118" t="s">
        <v>72</v>
      </c>
      <c r="J228" s="117" t="str">
        <f>CONCATENATE("var ",RIGHT(I227,2),"/",RIGHT(I227-1,2))</f>
        <v>var 23/22</v>
      </c>
      <c r="K228" s="118" t="s">
        <v>72</v>
      </c>
      <c r="L228" s="117" t="str">
        <f>CONCATENATE("var ",RIGHT(K227,2),"/",RIGHT(K227-1,2))</f>
        <v>var 24/23</v>
      </c>
      <c r="M228" s="118" t="s">
        <v>72</v>
      </c>
      <c r="N228" s="117" t="str">
        <f>CONCATENATE("var ",RIGHT(M227,2),"/",RIGHT(M227-1,2))</f>
        <v>var 25/24</v>
      </c>
    </row>
    <row r="229" spans="2:15" x14ac:dyDescent="0.25">
      <c r="B229" s="119" t="s">
        <v>74</v>
      </c>
      <c r="C229" s="120">
        <v>4296</v>
      </c>
      <c r="D229" s="121">
        <v>0.11208904996116997</v>
      </c>
      <c r="E229" s="120">
        <v>284</v>
      </c>
      <c r="F229" s="121">
        <f t="shared" ref="F229:L241" si="21">IFERROR(E229/C229-1,"-")</f>
        <v>-0.93389199255121047</v>
      </c>
      <c r="G229" s="120">
        <v>2729</v>
      </c>
      <c r="H229" s="121">
        <f t="shared" si="21"/>
        <v>8.6091549295774641</v>
      </c>
      <c r="I229" s="120">
        <v>4058</v>
      </c>
      <c r="J229" s="121">
        <f t="shared" si="21"/>
        <v>0.48699157200439713</v>
      </c>
      <c r="K229" s="120">
        <v>4254</v>
      </c>
      <c r="L229" s="121">
        <f t="shared" si="21"/>
        <v>4.8299655002464359E-2</v>
      </c>
      <c r="M229" s="120">
        <v>3018</v>
      </c>
      <c r="N229" s="121">
        <f t="shared" ref="N229:N240" si="22">IFERROR(M229/K229-1,"-")</f>
        <v>-0.29055007052186177</v>
      </c>
    </row>
    <row r="230" spans="2:15" x14ac:dyDescent="0.25">
      <c r="B230" s="119" t="s">
        <v>76</v>
      </c>
      <c r="C230" s="120">
        <v>3387</v>
      </c>
      <c r="D230" s="121">
        <v>0.21922246220302366</v>
      </c>
      <c r="E230" s="120">
        <v>59</v>
      </c>
      <c r="F230" s="121">
        <f t="shared" si="21"/>
        <v>-0.98258045467965749</v>
      </c>
      <c r="G230" s="120">
        <v>3069</v>
      </c>
      <c r="H230" s="121">
        <f t="shared" si="21"/>
        <v>51.016949152542374</v>
      </c>
      <c r="I230" s="120">
        <v>3219</v>
      </c>
      <c r="J230" s="121">
        <f t="shared" si="21"/>
        <v>4.8875855327468187E-2</v>
      </c>
      <c r="K230" s="120">
        <v>3831</v>
      </c>
      <c r="L230" s="121">
        <f t="shared" si="21"/>
        <v>0.19012115563839704</v>
      </c>
      <c r="M230" s="120">
        <v>3089</v>
      </c>
      <c r="N230" s="121">
        <f t="shared" si="22"/>
        <v>-0.19368311145914907</v>
      </c>
    </row>
    <row r="231" spans="2:15" x14ac:dyDescent="0.25">
      <c r="B231" s="119" t="s">
        <v>78</v>
      </c>
      <c r="C231" s="120">
        <v>1344</v>
      </c>
      <c r="D231" s="121">
        <v>-0.61501002578057862</v>
      </c>
      <c r="E231" s="120">
        <v>65</v>
      </c>
      <c r="F231" s="121">
        <f t="shared" si="21"/>
        <v>-0.95163690476190477</v>
      </c>
      <c r="G231" s="120">
        <v>3012</v>
      </c>
      <c r="H231" s="121">
        <f t="shared" si="21"/>
        <v>45.338461538461537</v>
      </c>
      <c r="I231" s="120">
        <v>2822</v>
      </c>
      <c r="J231" s="121">
        <f t="shared" si="21"/>
        <v>-6.3081009296148793E-2</v>
      </c>
      <c r="K231" s="120">
        <v>3770</v>
      </c>
      <c r="L231" s="121">
        <f t="shared" si="21"/>
        <v>0.33593196314670437</v>
      </c>
      <c r="M231" s="120">
        <v>3351</v>
      </c>
      <c r="N231" s="121">
        <f t="shared" si="22"/>
        <v>-0.11114058355437662</v>
      </c>
    </row>
    <row r="232" spans="2:15" x14ac:dyDescent="0.25">
      <c r="B232" s="119" t="s">
        <v>80</v>
      </c>
      <c r="C232" s="120">
        <v>0</v>
      </c>
      <c r="D232" s="121">
        <v>-1</v>
      </c>
      <c r="E232" s="120">
        <v>181</v>
      </c>
      <c r="F232" s="121" t="str">
        <f t="shared" si="21"/>
        <v>-</v>
      </c>
      <c r="G232" s="120">
        <v>3784</v>
      </c>
      <c r="H232" s="121">
        <f t="shared" si="21"/>
        <v>19.906077348066297</v>
      </c>
      <c r="I232" s="120">
        <v>3844</v>
      </c>
      <c r="J232" s="121">
        <f t="shared" si="21"/>
        <v>1.5856236786469413E-2</v>
      </c>
      <c r="K232" s="120">
        <v>4173</v>
      </c>
      <c r="L232" s="121">
        <f t="shared" si="21"/>
        <v>8.5587929240374505E-2</v>
      </c>
      <c r="M232" s="120">
        <v>2803</v>
      </c>
      <c r="N232" s="121">
        <f t="shared" si="22"/>
        <v>-0.32830098250659001</v>
      </c>
    </row>
    <row r="233" spans="2:15" x14ac:dyDescent="0.25">
      <c r="B233" s="119" t="s">
        <v>82</v>
      </c>
      <c r="C233" s="120">
        <v>0</v>
      </c>
      <c r="D233" s="121">
        <v>-1</v>
      </c>
      <c r="E233" s="120">
        <v>520</v>
      </c>
      <c r="F233" s="121" t="str">
        <f t="shared" si="21"/>
        <v>-</v>
      </c>
      <c r="G233" s="120">
        <v>2653</v>
      </c>
      <c r="H233" s="121">
        <f t="shared" si="21"/>
        <v>4.101923076923077</v>
      </c>
      <c r="I233" s="120">
        <v>3384</v>
      </c>
      <c r="J233" s="121">
        <f t="shared" si="21"/>
        <v>0.27553712777987194</v>
      </c>
      <c r="K233" s="120">
        <v>3296</v>
      </c>
      <c r="L233" s="121">
        <f t="shared" si="21"/>
        <v>-2.6004728132387744E-2</v>
      </c>
      <c r="M233" s="120">
        <v>3239</v>
      </c>
      <c r="N233" s="121">
        <f t="shared" si="22"/>
        <v>-1.7293689320388328E-2</v>
      </c>
    </row>
    <row r="234" spans="2:15" x14ac:dyDescent="0.25">
      <c r="B234" s="119" t="s">
        <v>84</v>
      </c>
      <c r="C234" s="120">
        <v>0</v>
      </c>
      <c r="D234" s="121">
        <v>-1</v>
      </c>
      <c r="E234" s="120">
        <v>1266</v>
      </c>
      <c r="F234" s="121" t="str">
        <f t="shared" si="21"/>
        <v>-</v>
      </c>
      <c r="G234" s="120">
        <v>2511</v>
      </c>
      <c r="H234" s="121">
        <f t="shared" si="21"/>
        <v>0.98341232227488162</v>
      </c>
      <c r="I234" s="120">
        <v>2974</v>
      </c>
      <c r="J234" s="121">
        <f t="shared" si="21"/>
        <v>0.18438868976503375</v>
      </c>
      <c r="K234" s="120">
        <v>2680</v>
      </c>
      <c r="L234" s="121">
        <f t="shared" si="21"/>
        <v>-9.8856758574310644E-2</v>
      </c>
      <c r="M234" s="120">
        <v>2876</v>
      </c>
      <c r="N234" s="121">
        <f t="shared" si="22"/>
        <v>7.3134328358208878E-2</v>
      </c>
    </row>
    <row r="235" spans="2:15" x14ac:dyDescent="0.25">
      <c r="B235" s="119" t="s">
        <v>86</v>
      </c>
      <c r="C235" s="120">
        <v>0</v>
      </c>
      <c r="D235" s="121">
        <v>-1</v>
      </c>
      <c r="E235" s="120">
        <v>2128</v>
      </c>
      <c r="F235" s="121" t="str">
        <f t="shared" si="21"/>
        <v>-</v>
      </c>
      <c r="G235" s="120">
        <v>3593</v>
      </c>
      <c r="H235" s="121">
        <f t="shared" si="21"/>
        <v>0.68843984962406024</v>
      </c>
      <c r="I235" s="120">
        <v>4010</v>
      </c>
      <c r="J235" s="121">
        <f t="shared" si="21"/>
        <v>0.11605900361814636</v>
      </c>
      <c r="K235" s="120">
        <v>4277</v>
      </c>
      <c r="L235" s="121">
        <f t="shared" si="21"/>
        <v>6.6583541147132275E-2</v>
      </c>
      <c r="M235" s="120">
        <v>3871</v>
      </c>
      <c r="N235" s="121">
        <f t="shared" si="22"/>
        <v>-9.4926350245499225E-2</v>
      </c>
    </row>
    <row r="236" spans="2:15" x14ac:dyDescent="0.25">
      <c r="B236" s="119" t="s">
        <v>88</v>
      </c>
      <c r="C236" s="120">
        <v>1493</v>
      </c>
      <c r="D236" s="121">
        <v>-0.50888157894736841</v>
      </c>
      <c r="E236" s="120">
        <v>2402</v>
      </c>
      <c r="F236" s="121">
        <f t="shared" si="21"/>
        <v>0.60884125920964505</v>
      </c>
      <c r="G236" s="120">
        <v>2717</v>
      </c>
      <c r="H236" s="121">
        <f t="shared" si="21"/>
        <v>0.13114071606994182</v>
      </c>
      <c r="I236" s="120">
        <v>3806</v>
      </c>
      <c r="J236" s="121">
        <f t="shared" si="21"/>
        <v>0.40080971659919018</v>
      </c>
      <c r="K236" s="120">
        <v>3503</v>
      </c>
      <c r="L236" s="121">
        <f t="shared" si="21"/>
        <v>-7.9611140304781891E-2</v>
      </c>
      <c r="M236" s="120">
        <v>3638</v>
      </c>
      <c r="N236" s="121">
        <f t="shared" si="22"/>
        <v>3.8538395660862035E-2</v>
      </c>
    </row>
    <row r="237" spans="2:15" x14ac:dyDescent="0.25">
      <c r="B237" s="119" t="s">
        <v>90</v>
      </c>
      <c r="C237" s="120">
        <v>2218</v>
      </c>
      <c r="D237" s="121">
        <v>-0.36718972895863056</v>
      </c>
      <c r="E237" s="120">
        <v>3200</v>
      </c>
      <c r="F237" s="121">
        <f t="shared" si="21"/>
        <v>0.44274120829576202</v>
      </c>
      <c r="G237" s="120">
        <v>3335</v>
      </c>
      <c r="H237" s="121">
        <f t="shared" si="21"/>
        <v>4.2187500000000044E-2</v>
      </c>
      <c r="I237" s="120">
        <v>3714</v>
      </c>
      <c r="J237" s="121">
        <f t="shared" si="21"/>
        <v>0.11364317841079452</v>
      </c>
      <c r="K237" s="120">
        <v>3091</v>
      </c>
      <c r="L237" s="121">
        <f t="shared" si="21"/>
        <v>-0.16774367259019929</v>
      </c>
      <c r="M237" s="120">
        <v>3541</v>
      </c>
      <c r="N237" s="121">
        <f t="shared" si="22"/>
        <v>0.1455839534131349</v>
      </c>
    </row>
    <row r="238" spans="2:15" x14ac:dyDescent="0.25">
      <c r="B238" s="119" t="s">
        <v>92</v>
      </c>
      <c r="C238" s="120">
        <v>848</v>
      </c>
      <c r="D238" s="121">
        <v>-0.76385407964355334</v>
      </c>
      <c r="E238" s="120">
        <v>4609</v>
      </c>
      <c r="F238" s="121">
        <f t="shared" si="21"/>
        <v>4.4351415094339623</v>
      </c>
      <c r="G238" s="120">
        <v>3802</v>
      </c>
      <c r="H238" s="121">
        <f t="shared" si="21"/>
        <v>-0.17509221089173355</v>
      </c>
      <c r="I238" s="120">
        <v>4250</v>
      </c>
      <c r="J238" s="121">
        <f t="shared" si="21"/>
        <v>0.11783271962125208</v>
      </c>
      <c r="K238" s="120">
        <v>3949</v>
      </c>
      <c r="L238" s="121">
        <f t="shared" si="21"/>
        <v>-7.082352941176473E-2</v>
      </c>
      <c r="M238" s="120">
        <v>3943</v>
      </c>
      <c r="N238" s="121">
        <f t="shared" si="22"/>
        <v>-1.519371992909635E-3</v>
      </c>
    </row>
    <row r="239" spans="2:15" x14ac:dyDescent="0.25">
      <c r="B239" s="119" t="s">
        <v>94</v>
      </c>
      <c r="C239" s="120">
        <v>437</v>
      </c>
      <c r="D239" s="121">
        <v>-0.88690476190476186</v>
      </c>
      <c r="E239" s="120">
        <v>4138</v>
      </c>
      <c r="F239" s="121">
        <f t="shared" si="21"/>
        <v>8.469107551487415</v>
      </c>
      <c r="G239" s="120">
        <v>3396</v>
      </c>
      <c r="H239" s="121">
        <f t="shared" si="21"/>
        <v>-0.17931367810536492</v>
      </c>
      <c r="I239" s="120">
        <v>3688</v>
      </c>
      <c r="J239" s="121">
        <f t="shared" si="21"/>
        <v>8.5983510011778508E-2</v>
      </c>
      <c r="K239" s="120">
        <v>3573</v>
      </c>
      <c r="L239" s="121">
        <f t="shared" si="21"/>
        <v>-3.1182212581344904E-2</v>
      </c>
      <c r="M239" s="120">
        <v>4143</v>
      </c>
      <c r="N239" s="121">
        <f t="shared" si="22"/>
        <v>0.15952980688497065</v>
      </c>
    </row>
    <row r="240" spans="2:15" x14ac:dyDescent="0.25">
      <c r="B240" s="119" t="s">
        <v>96</v>
      </c>
      <c r="C240" s="120">
        <v>554</v>
      </c>
      <c r="D240" s="121">
        <v>-0.86448140900195691</v>
      </c>
      <c r="E240" s="120">
        <v>3955</v>
      </c>
      <c r="F240" s="121">
        <f t="shared" si="21"/>
        <v>6.1389891696750905</v>
      </c>
      <c r="G240" s="120">
        <v>4166</v>
      </c>
      <c r="H240" s="121">
        <f t="shared" si="21"/>
        <v>5.3350189633375456E-2</v>
      </c>
      <c r="I240" s="120">
        <v>4414</v>
      </c>
      <c r="J240" s="121">
        <f t="shared" si="21"/>
        <v>5.9529524723955785E-2</v>
      </c>
      <c r="K240" s="120">
        <v>4236</v>
      </c>
      <c r="L240" s="121">
        <f t="shared" si="21"/>
        <v>-4.0326234707748099E-2</v>
      </c>
      <c r="M240" s="120">
        <v>3677</v>
      </c>
      <c r="N240" s="121">
        <f t="shared" si="22"/>
        <v>-0.13196411709159583</v>
      </c>
    </row>
    <row r="241" spans="2:15" ht="15.75" x14ac:dyDescent="0.25">
      <c r="B241" s="122" t="s">
        <v>33</v>
      </c>
      <c r="C241" s="123">
        <v>15534</v>
      </c>
      <c r="D241" s="124">
        <v>-0.62297946701616425</v>
      </c>
      <c r="E241" s="123">
        <v>22807</v>
      </c>
      <c r="F241" s="124">
        <f t="shared" si="21"/>
        <v>0.46819878975151275</v>
      </c>
      <c r="G241" s="123">
        <v>38767</v>
      </c>
      <c r="H241" s="124">
        <f t="shared" si="21"/>
        <v>0.69978515368088745</v>
      </c>
      <c r="I241" s="123">
        <v>44183</v>
      </c>
      <c r="J241" s="124">
        <f t="shared" si="21"/>
        <v>0.13970645136327287</v>
      </c>
      <c r="K241" s="123">
        <v>44633</v>
      </c>
      <c r="L241" s="124">
        <f t="shared" si="21"/>
        <v>1.0184912749247488E-2</v>
      </c>
      <c r="M241" s="123">
        <v>41189</v>
      </c>
      <c r="N241" s="124">
        <v>-7.7162637510362342E-2</v>
      </c>
    </row>
    <row r="242" spans="2:15" ht="6" customHeight="1" x14ac:dyDescent="0.25"/>
    <row r="243" spans="2:15" x14ac:dyDescent="0.25">
      <c r="B243" s="107" t="s">
        <v>58</v>
      </c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</row>
    <row r="244" spans="2:15" x14ac:dyDescent="0.25">
      <c r="C244" s="125"/>
      <c r="K244" s="125"/>
      <c r="M244" s="107"/>
    </row>
    <row r="246" spans="2:15" ht="48.75" customHeight="1" thickBot="1" x14ac:dyDescent="0.3">
      <c r="B246" s="283" t="s">
        <v>251</v>
      </c>
      <c r="C246" s="283"/>
      <c r="D246" s="283"/>
      <c r="E246" s="283"/>
      <c r="F246" s="283"/>
      <c r="G246" s="283"/>
      <c r="H246" s="283"/>
      <c r="I246" s="283"/>
      <c r="J246" s="283"/>
      <c r="K246" s="283"/>
      <c r="L246" s="283"/>
      <c r="M246" s="283"/>
      <c r="N246" s="283"/>
      <c r="O246" s="1" t="s">
        <v>129</v>
      </c>
    </row>
    <row r="247" spans="2:15" ht="10.5" customHeight="1" thickBot="1" x14ac:dyDescent="0.3">
      <c r="B247" s="108"/>
      <c r="C247" s="109"/>
      <c r="D247" s="108"/>
      <c r="E247" s="108"/>
      <c r="F247" s="108"/>
      <c r="G247" s="108"/>
      <c r="H247" s="108"/>
      <c r="I247" s="108"/>
      <c r="J247" s="108"/>
      <c r="K247" s="108"/>
      <c r="L247" s="108"/>
      <c r="M247" s="4"/>
      <c r="N247" s="4"/>
      <c r="O247" s="1" t="s">
        <v>130</v>
      </c>
    </row>
    <row r="248" spans="2:15" ht="22.5" thickTop="1" thickBot="1" x14ac:dyDescent="0.3">
      <c r="B248" s="126" t="str">
        <f>C248</f>
        <v>Dinamarca</v>
      </c>
      <c r="C248" s="305" t="s">
        <v>131</v>
      </c>
      <c r="D248" s="306"/>
      <c r="E248" s="306"/>
      <c r="F248" s="306"/>
      <c r="G248" s="306"/>
      <c r="H248" s="306"/>
      <c r="I248" s="306"/>
      <c r="J248" s="306"/>
      <c r="K248" s="306"/>
      <c r="L248" s="306"/>
      <c r="M248" s="306"/>
      <c r="N248" s="306"/>
    </row>
    <row r="249" spans="2:15" ht="22.5" thickTop="1" thickBot="1" x14ac:dyDescent="0.3">
      <c r="B249" s="111"/>
      <c r="C249" s="307">
        <f>C$7</f>
        <v>2020</v>
      </c>
      <c r="D249" s="308"/>
      <c r="E249" s="307">
        <f>E$7</f>
        <v>2021</v>
      </c>
      <c r="F249" s="308"/>
      <c r="G249" s="307">
        <f>G$7</f>
        <v>2022</v>
      </c>
      <c r="H249" s="308"/>
      <c r="I249" s="307">
        <f>I$7</f>
        <v>2023</v>
      </c>
      <c r="J249" s="308"/>
      <c r="K249" s="307">
        <f>K$7</f>
        <v>2024</v>
      </c>
      <c r="L249" s="308"/>
      <c r="M249" s="307">
        <f>M$7</f>
        <v>2025</v>
      </c>
      <c r="N249" s="308"/>
    </row>
    <row r="250" spans="2:15" ht="16.5" thickTop="1" thickBot="1" x14ac:dyDescent="0.3">
      <c r="B250" s="87"/>
      <c r="C250" s="116" t="s">
        <v>72</v>
      </c>
      <c r="D250" s="117" t="str">
        <f>CONCATENATE("var ",RIGHT(C249,2),"/",RIGHT(C249-1,2))</f>
        <v>var 20/19</v>
      </c>
      <c r="E250" s="118" t="s">
        <v>72</v>
      </c>
      <c r="F250" s="117" t="str">
        <f>CONCATENATE("var ",RIGHT(E249,2),"/",RIGHT(E249-1,2))</f>
        <v>var 21/20</v>
      </c>
      <c r="G250" s="118" t="s">
        <v>72</v>
      </c>
      <c r="H250" s="117" t="str">
        <f>CONCATENATE("var ",RIGHT(G249,2),"/",RIGHT(G249-1,2))</f>
        <v>var 22/21</v>
      </c>
      <c r="I250" s="118" t="s">
        <v>72</v>
      </c>
      <c r="J250" s="117" t="str">
        <f>CONCATENATE("var ",RIGHT(I249,2),"/",RIGHT(I249-1,2))</f>
        <v>var 23/22</v>
      </c>
      <c r="K250" s="118" t="s">
        <v>72</v>
      </c>
      <c r="L250" s="117" t="str">
        <f>CONCATENATE("var ",RIGHT(K249,2),"/",RIGHT(K249-1,2))</f>
        <v>var 24/23</v>
      </c>
      <c r="M250" s="118" t="s">
        <v>72</v>
      </c>
      <c r="N250" s="117" t="str">
        <f>CONCATENATE("var ",RIGHT(M249,2),"/",RIGHT(M249-1,2))</f>
        <v>var 25/24</v>
      </c>
    </row>
    <row r="251" spans="2:15" x14ac:dyDescent="0.25">
      <c r="B251" s="119" t="s">
        <v>74</v>
      </c>
      <c r="C251" s="120">
        <v>3686</v>
      </c>
      <c r="D251" s="121">
        <v>-8.5359801488833709E-2</v>
      </c>
      <c r="E251" s="120">
        <v>75</v>
      </c>
      <c r="F251" s="121">
        <f t="shared" ref="F251:L263" si="23">IFERROR(E251/C251-1,"-")</f>
        <v>-0.9796527400976669</v>
      </c>
      <c r="G251" s="120">
        <v>3265</v>
      </c>
      <c r="H251" s="121">
        <f t="shared" si="23"/>
        <v>42.533333333333331</v>
      </c>
      <c r="I251" s="120">
        <v>3804</v>
      </c>
      <c r="J251" s="121">
        <f t="shared" si="23"/>
        <v>0.165084226646248</v>
      </c>
      <c r="K251" s="120">
        <v>3499</v>
      </c>
      <c r="L251" s="121">
        <f t="shared" si="23"/>
        <v>-8.0178759200841165E-2</v>
      </c>
      <c r="M251" s="120">
        <v>3174</v>
      </c>
      <c r="N251" s="121">
        <f t="shared" ref="N251:N262" si="24">IFERROR(M251/K251-1,"-")</f>
        <v>-9.2883681051729061E-2</v>
      </c>
    </row>
    <row r="252" spans="2:15" x14ac:dyDescent="0.25">
      <c r="B252" s="119" t="s">
        <v>76</v>
      </c>
      <c r="C252" s="120">
        <v>4220</v>
      </c>
      <c r="D252" s="121">
        <v>-1.6087666122639344E-2</v>
      </c>
      <c r="E252" s="120">
        <v>31</v>
      </c>
      <c r="F252" s="121">
        <f t="shared" si="23"/>
        <v>-0.99265402843601891</v>
      </c>
      <c r="G252" s="120">
        <v>3518</v>
      </c>
      <c r="H252" s="121">
        <f t="shared" si="23"/>
        <v>112.48387096774194</v>
      </c>
      <c r="I252" s="120">
        <v>4227</v>
      </c>
      <c r="J252" s="121">
        <f t="shared" si="23"/>
        <v>0.20153496304718588</v>
      </c>
      <c r="K252" s="120">
        <v>3701</v>
      </c>
      <c r="L252" s="121">
        <f t="shared" si="23"/>
        <v>-0.12443813579370711</v>
      </c>
      <c r="M252" s="120">
        <v>3548</v>
      </c>
      <c r="N252" s="121">
        <f t="shared" si="24"/>
        <v>-4.1340178330180999E-2</v>
      </c>
    </row>
    <row r="253" spans="2:15" x14ac:dyDescent="0.25">
      <c r="B253" s="119" t="s">
        <v>78</v>
      </c>
      <c r="C253" s="120">
        <v>1681</v>
      </c>
      <c r="D253" s="121">
        <v>-0.69240622140896613</v>
      </c>
      <c r="E253" s="120">
        <v>49</v>
      </c>
      <c r="F253" s="121">
        <f t="shared" si="23"/>
        <v>-0.97085068411659725</v>
      </c>
      <c r="G253" s="120">
        <v>3255</v>
      </c>
      <c r="H253" s="121">
        <f t="shared" si="23"/>
        <v>65.428571428571431</v>
      </c>
      <c r="I253" s="120">
        <v>3538</v>
      </c>
      <c r="J253" s="121">
        <f t="shared" si="23"/>
        <v>8.6943164362519143E-2</v>
      </c>
      <c r="K253" s="120">
        <v>3652</v>
      </c>
      <c r="L253" s="121">
        <f t="shared" si="23"/>
        <v>3.2221594120972252E-2</v>
      </c>
      <c r="M253" s="120">
        <v>3801</v>
      </c>
      <c r="N253" s="121">
        <f t="shared" si="24"/>
        <v>4.0799561883899216E-2</v>
      </c>
    </row>
    <row r="254" spans="2:15" x14ac:dyDescent="0.25">
      <c r="B254" s="119" t="s">
        <v>80</v>
      </c>
      <c r="C254" s="120">
        <v>0</v>
      </c>
      <c r="D254" s="121">
        <v>-1</v>
      </c>
      <c r="E254" s="120">
        <v>7</v>
      </c>
      <c r="F254" s="121" t="str">
        <f t="shared" si="23"/>
        <v>-</v>
      </c>
      <c r="G254" s="120">
        <v>1581</v>
      </c>
      <c r="H254" s="121">
        <f t="shared" si="23"/>
        <v>224.85714285714286</v>
      </c>
      <c r="I254" s="120">
        <v>2016</v>
      </c>
      <c r="J254" s="121">
        <f t="shared" si="23"/>
        <v>0.27514231499051234</v>
      </c>
      <c r="K254" s="120">
        <v>1220</v>
      </c>
      <c r="L254" s="121">
        <f t="shared" si="23"/>
        <v>-0.39484126984126988</v>
      </c>
      <c r="M254" s="120">
        <v>2096</v>
      </c>
      <c r="N254" s="121">
        <f t="shared" si="24"/>
        <v>0.71803278688524586</v>
      </c>
    </row>
    <row r="255" spans="2:15" x14ac:dyDescent="0.25">
      <c r="B255" s="119" t="s">
        <v>82</v>
      </c>
      <c r="C255" s="120">
        <v>0</v>
      </c>
      <c r="D255" s="121">
        <v>-1</v>
      </c>
      <c r="E255" s="120">
        <v>7</v>
      </c>
      <c r="F255" s="121" t="str">
        <f t="shared" si="23"/>
        <v>-</v>
      </c>
      <c r="G255" s="120">
        <v>355</v>
      </c>
      <c r="H255" s="121">
        <f t="shared" si="23"/>
        <v>49.714285714285715</v>
      </c>
      <c r="I255" s="120">
        <v>333</v>
      </c>
      <c r="J255" s="121">
        <f t="shared" si="23"/>
        <v>-6.1971830985915521E-2</v>
      </c>
      <c r="K255" s="120">
        <v>530</v>
      </c>
      <c r="L255" s="121">
        <f t="shared" si="23"/>
        <v>0.59159159159159169</v>
      </c>
      <c r="M255" s="120">
        <v>415</v>
      </c>
      <c r="N255" s="121">
        <f t="shared" si="24"/>
        <v>-0.21698113207547165</v>
      </c>
    </row>
    <row r="256" spans="2:15" x14ac:dyDescent="0.25">
      <c r="B256" s="119" t="s">
        <v>84</v>
      </c>
      <c r="C256" s="120">
        <v>0</v>
      </c>
      <c r="D256" s="121">
        <v>-1</v>
      </c>
      <c r="E256" s="120">
        <v>197</v>
      </c>
      <c r="F256" s="121" t="str">
        <f t="shared" si="23"/>
        <v>-</v>
      </c>
      <c r="G256" s="120">
        <v>320</v>
      </c>
      <c r="H256" s="121">
        <f t="shared" si="23"/>
        <v>0.62436548223350252</v>
      </c>
      <c r="I256" s="120">
        <v>529</v>
      </c>
      <c r="J256" s="121">
        <f t="shared" si="23"/>
        <v>0.65312499999999996</v>
      </c>
      <c r="K256" s="120">
        <v>371</v>
      </c>
      <c r="L256" s="121">
        <f t="shared" si="23"/>
        <v>-0.29867674858223059</v>
      </c>
      <c r="M256" s="120">
        <v>365</v>
      </c>
      <c r="N256" s="121">
        <f t="shared" si="24"/>
        <v>-1.6172506738544423E-2</v>
      </c>
    </row>
    <row r="257" spans="2:15" x14ac:dyDescent="0.25">
      <c r="B257" s="119" t="s">
        <v>86</v>
      </c>
      <c r="C257" s="120">
        <v>0</v>
      </c>
      <c r="D257" s="121">
        <v>-1</v>
      </c>
      <c r="E257" s="120">
        <v>841</v>
      </c>
      <c r="F257" s="121" t="str">
        <f t="shared" si="23"/>
        <v>-</v>
      </c>
      <c r="G257" s="120">
        <v>835</v>
      </c>
      <c r="H257" s="121">
        <f t="shared" si="23"/>
        <v>-7.1343638525565023E-3</v>
      </c>
      <c r="I257" s="120">
        <v>490</v>
      </c>
      <c r="J257" s="121">
        <f t="shared" si="23"/>
        <v>-0.41317365269461082</v>
      </c>
      <c r="K257" s="120">
        <v>639</v>
      </c>
      <c r="L257" s="121">
        <f t="shared" si="23"/>
        <v>0.30408163265306132</v>
      </c>
      <c r="M257" s="120">
        <v>629</v>
      </c>
      <c r="N257" s="121">
        <f t="shared" si="24"/>
        <v>-1.5649452269170583E-2</v>
      </c>
    </row>
    <row r="258" spans="2:15" x14ac:dyDescent="0.25">
      <c r="B258" s="119" t="s">
        <v>88</v>
      </c>
      <c r="C258" s="120">
        <v>9</v>
      </c>
      <c r="D258" s="121">
        <v>-0.97945205479452058</v>
      </c>
      <c r="E258" s="120">
        <v>572</v>
      </c>
      <c r="F258" s="121">
        <f t="shared" si="23"/>
        <v>62.555555555555557</v>
      </c>
      <c r="G258" s="120">
        <v>752</v>
      </c>
      <c r="H258" s="121">
        <f t="shared" si="23"/>
        <v>0.31468531468531458</v>
      </c>
      <c r="I258" s="120">
        <v>378</v>
      </c>
      <c r="J258" s="121">
        <f t="shared" si="23"/>
        <v>-0.49734042553191493</v>
      </c>
      <c r="K258" s="120">
        <v>367</v>
      </c>
      <c r="L258" s="121">
        <f t="shared" si="23"/>
        <v>-2.9100529100529071E-2</v>
      </c>
      <c r="M258" s="120">
        <v>387</v>
      </c>
      <c r="N258" s="121">
        <f t="shared" si="24"/>
        <v>5.4495912806539426E-2</v>
      </c>
    </row>
    <row r="259" spans="2:15" x14ac:dyDescent="0.25">
      <c r="B259" s="119" t="s">
        <v>90</v>
      </c>
      <c r="C259" s="120">
        <v>8</v>
      </c>
      <c r="D259" s="121">
        <v>-0.98664440734557601</v>
      </c>
      <c r="E259" s="120">
        <v>516</v>
      </c>
      <c r="F259" s="121">
        <f t="shared" si="23"/>
        <v>63.5</v>
      </c>
      <c r="G259" s="120">
        <v>493</v>
      </c>
      <c r="H259" s="121">
        <f t="shared" si="23"/>
        <v>-4.4573643410852681E-2</v>
      </c>
      <c r="I259" s="120">
        <v>422</v>
      </c>
      <c r="J259" s="121">
        <f t="shared" si="23"/>
        <v>-0.14401622718052742</v>
      </c>
      <c r="K259" s="120">
        <v>439</v>
      </c>
      <c r="L259" s="121">
        <f t="shared" si="23"/>
        <v>4.0284360189573487E-2</v>
      </c>
      <c r="M259" s="120">
        <v>495</v>
      </c>
      <c r="N259" s="121">
        <f t="shared" si="24"/>
        <v>0.1275626423690206</v>
      </c>
    </row>
    <row r="260" spans="2:15" x14ac:dyDescent="0.25">
      <c r="B260" s="119" t="s">
        <v>92</v>
      </c>
      <c r="C260" s="120">
        <v>34</v>
      </c>
      <c r="D260" s="121">
        <v>-0.98282828282828283</v>
      </c>
      <c r="E260" s="120">
        <v>2369</v>
      </c>
      <c r="F260" s="121">
        <f t="shared" si="23"/>
        <v>68.67647058823529</v>
      </c>
      <c r="G260" s="120">
        <v>2110</v>
      </c>
      <c r="H260" s="121">
        <f t="shared" si="23"/>
        <v>-0.10932883073026589</v>
      </c>
      <c r="I260" s="120">
        <v>2081</v>
      </c>
      <c r="J260" s="121">
        <f t="shared" si="23"/>
        <v>-1.3744075829383862E-2</v>
      </c>
      <c r="K260" s="120">
        <v>1650</v>
      </c>
      <c r="L260" s="121">
        <f t="shared" si="23"/>
        <v>-0.20711196540124943</v>
      </c>
      <c r="M260" s="120">
        <v>1715</v>
      </c>
      <c r="N260" s="121">
        <f t="shared" si="24"/>
        <v>3.9393939393939315E-2</v>
      </c>
    </row>
    <row r="261" spans="2:15" x14ac:dyDescent="0.25">
      <c r="B261" s="119" t="s">
        <v>94</v>
      </c>
      <c r="C261" s="120">
        <v>37</v>
      </c>
      <c r="D261" s="121">
        <v>-0.98734610123119015</v>
      </c>
      <c r="E261" s="120">
        <v>3222</v>
      </c>
      <c r="F261" s="121">
        <f t="shared" si="23"/>
        <v>86.081081081081081</v>
      </c>
      <c r="G261" s="120">
        <v>3298</v>
      </c>
      <c r="H261" s="121">
        <f t="shared" si="23"/>
        <v>2.3587833643699652E-2</v>
      </c>
      <c r="I261" s="120">
        <v>2807</v>
      </c>
      <c r="J261" s="121">
        <f t="shared" si="23"/>
        <v>-0.14887810794420864</v>
      </c>
      <c r="K261" s="120">
        <v>3087</v>
      </c>
      <c r="L261" s="121">
        <f t="shared" si="23"/>
        <v>9.9750623441396513E-2</v>
      </c>
      <c r="M261" s="120">
        <v>3354</v>
      </c>
      <c r="N261" s="121">
        <f t="shared" si="24"/>
        <v>8.6491739552964075E-2</v>
      </c>
    </row>
    <row r="262" spans="2:15" x14ac:dyDescent="0.25">
      <c r="B262" s="119" t="s">
        <v>96</v>
      </c>
      <c r="C262" s="120">
        <v>39</v>
      </c>
      <c r="D262" s="121">
        <v>-0.98910918737782738</v>
      </c>
      <c r="E262" s="120">
        <v>2647</v>
      </c>
      <c r="F262" s="121">
        <f t="shared" si="23"/>
        <v>66.871794871794876</v>
      </c>
      <c r="G262" s="120">
        <v>2675</v>
      </c>
      <c r="H262" s="121">
        <f t="shared" si="23"/>
        <v>1.0578012844729923E-2</v>
      </c>
      <c r="I262" s="120">
        <v>2879</v>
      </c>
      <c r="J262" s="121">
        <f t="shared" si="23"/>
        <v>7.626168224299068E-2</v>
      </c>
      <c r="K262" s="120">
        <v>3064</v>
      </c>
      <c r="L262" s="121">
        <f t="shared" si="23"/>
        <v>6.4258423063563663E-2</v>
      </c>
      <c r="M262" s="120">
        <v>2502</v>
      </c>
      <c r="N262" s="121">
        <f t="shared" si="24"/>
        <v>-0.18342036553524799</v>
      </c>
    </row>
    <row r="263" spans="2:15" ht="15.75" x14ac:dyDescent="0.25">
      <c r="B263" s="122" t="s">
        <v>33</v>
      </c>
      <c r="C263" s="123">
        <v>9750</v>
      </c>
      <c r="D263" s="124">
        <v>-0.6378022957762175</v>
      </c>
      <c r="E263" s="123">
        <v>10533</v>
      </c>
      <c r="F263" s="124">
        <f t="shared" si="23"/>
        <v>8.0307692307692413E-2</v>
      </c>
      <c r="G263" s="123">
        <v>22457</v>
      </c>
      <c r="H263" s="124">
        <f t="shared" si="23"/>
        <v>1.1320611411753538</v>
      </c>
      <c r="I263" s="123">
        <v>23504</v>
      </c>
      <c r="J263" s="124">
        <f t="shared" si="23"/>
        <v>4.662243398494903E-2</v>
      </c>
      <c r="K263" s="123">
        <v>22219</v>
      </c>
      <c r="L263" s="124">
        <f t="shared" si="23"/>
        <v>-5.4671545268890398E-2</v>
      </c>
      <c r="M263" s="123">
        <v>22481</v>
      </c>
      <c r="N263" s="124">
        <v>1.1791709797920769E-2</v>
      </c>
    </row>
    <row r="264" spans="2:15" ht="6" customHeight="1" x14ac:dyDescent="0.25"/>
    <row r="265" spans="2:15" x14ac:dyDescent="0.25">
      <c r="B265" s="107" t="s">
        <v>58</v>
      </c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</row>
    <row r="266" spans="2:15" x14ac:dyDescent="0.25">
      <c r="K266" s="125"/>
    </row>
    <row r="268" spans="2:15" ht="48.75" customHeight="1" thickBot="1" x14ac:dyDescent="0.3">
      <c r="B268" s="283" t="s">
        <v>252</v>
      </c>
      <c r="C268" s="283"/>
      <c r="D268" s="283"/>
      <c r="E268" s="283"/>
      <c r="F268" s="283"/>
      <c r="G268" s="283"/>
      <c r="H268" s="283"/>
      <c r="I268" s="283"/>
      <c r="J268" s="283"/>
      <c r="K268" s="283"/>
      <c r="L268" s="283"/>
      <c r="M268" s="283"/>
      <c r="N268" s="283"/>
      <c r="O268" s="1" t="s">
        <v>132</v>
      </c>
    </row>
    <row r="269" spans="2:15" ht="10.5" customHeight="1" thickBot="1" x14ac:dyDescent="0.3">
      <c r="B269" s="108"/>
      <c r="C269" s="109"/>
      <c r="D269" s="108"/>
      <c r="E269" s="108"/>
      <c r="F269" s="108"/>
      <c r="G269" s="108"/>
      <c r="H269" s="108"/>
      <c r="I269" s="108"/>
      <c r="J269" s="108"/>
      <c r="K269" s="108"/>
      <c r="L269" s="108"/>
      <c r="M269" s="4"/>
      <c r="N269" s="4"/>
      <c r="O269" s="1" t="s">
        <v>133</v>
      </c>
    </row>
    <row r="270" spans="2:15" ht="22.5" thickTop="1" thickBot="1" x14ac:dyDescent="0.3">
      <c r="B270" s="126" t="str">
        <f>C270</f>
        <v>Suecia</v>
      </c>
      <c r="C270" s="305" t="s">
        <v>134</v>
      </c>
      <c r="D270" s="306"/>
      <c r="E270" s="306"/>
      <c r="F270" s="306"/>
      <c r="G270" s="306"/>
      <c r="H270" s="306"/>
      <c r="I270" s="306"/>
      <c r="J270" s="306"/>
      <c r="K270" s="306"/>
      <c r="L270" s="306"/>
      <c r="M270" s="306"/>
      <c r="N270" s="306"/>
    </row>
    <row r="271" spans="2:15" ht="22.5" thickTop="1" thickBot="1" x14ac:dyDescent="0.3">
      <c r="B271" s="111"/>
      <c r="C271" s="307">
        <f>C$7</f>
        <v>2020</v>
      </c>
      <c r="D271" s="308"/>
      <c r="E271" s="307">
        <f>E$7</f>
        <v>2021</v>
      </c>
      <c r="F271" s="308"/>
      <c r="G271" s="307">
        <f>G$7</f>
        <v>2022</v>
      </c>
      <c r="H271" s="308"/>
      <c r="I271" s="307">
        <f>I$7</f>
        <v>2023</v>
      </c>
      <c r="J271" s="308"/>
      <c r="K271" s="307">
        <f>K$7</f>
        <v>2024</v>
      </c>
      <c r="L271" s="308"/>
      <c r="M271" s="307">
        <f>M$7</f>
        <v>2025</v>
      </c>
      <c r="N271" s="308"/>
    </row>
    <row r="272" spans="2:15" ht="16.5" thickTop="1" thickBot="1" x14ac:dyDescent="0.3">
      <c r="B272" s="87"/>
      <c r="C272" s="116" t="s">
        <v>72</v>
      </c>
      <c r="D272" s="117" t="str">
        <f>CONCATENATE("var ",RIGHT(C271,2),"/",RIGHT(C271-1,2))</f>
        <v>var 20/19</v>
      </c>
      <c r="E272" s="118" t="s">
        <v>72</v>
      </c>
      <c r="F272" s="117" t="str">
        <f>CONCATENATE("var ",RIGHT(E271,2),"/",RIGHT(E271-1,2))</f>
        <v>var 21/20</v>
      </c>
      <c r="G272" s="118" t="s">
        <v>72</v>
      </c>
      <c r="H272" s="117" t="str">
        <f>CONCATENATE("var ",RIGHT(G271,2),"/",RIGHT(G271-1,2))</f>
        <v>var 22/21</v>
      </c>
      <c r="I272" s="118" t="s">
        <v>72</v>
      </c>
      <c r="J272" s="117" t="str">
        <f>CONCATENATE("var ",RIGHT(I271,2),"/",RIGHT(I271-1,2))</f>
        <v>var 23/22</v>
      </c>
      <c r="K272" s="118" t="s">
        <v>72</v>
      </c>
      <c r="L272" s="117" t="str">
        <f>CONCATENATE("var ",RIGHT(K271,2),"/",RIGHT(K271-1,2))</f>
        <v>var 24/23</v>
      </c>
      <c r="M272" s="118" t="s">
        <v>72</v>
      </c>
      <c r="N272" s="117" t="str">
        <f>CONCATENATE("var ",RIGHT(M271,2),"/",RIGHT(M271-1,2))</f>
        <v>var 25/24</v>
      </c>
    </row>
    <row r="273" spans="2:14" x14ac:dyDescent="0.25">
      <c r="B273" s="119" t="s">
        <v>74</v>
      </c>
      <c r="C273" s="120">
        <v>6518</v>
      </c>
      <c r="D273" s="121">
        <v>3.2322610435586707E-3</v>
      </c>
      <c r="E273" s="120">
        <v>551</v>
      </c>
      <c r="F273" s="121">
        <f t="shared" ref="F273:L285" si="25">IFERROR(E273/C273-1,"-")</f>
        <v>-0.91546486652347348</v>
      </c>
      <c r="G273" s="120">
        <v>3828</v>
      </c>
      <c r="H273" s="121">
        <f t="shared" si="25"/>
        <v>5.9473684210526319</v>
      </c>
      <c r="I273" s="120">
        <v>4420</v>
      </c>
      <c r="J273" s="121">
        <f t="shared" si="25"/>
        <v>0.15464994775339602</v>
      </c>
      <c r="K273" s="120">
        <v>4823</v>
      </c>
      <c r="L273" s="121">
        <f t="shared" si="25"/>
        <v>9.1176470588235192E-2</v>
      </c>
      <c r="M273" s="120">
        <v>3438</v>
      </c>
      <c r="N273" s="121">
        <f t="shared" ref="N273:N284" si="26">IFERROR(M273/K273-1,"-")</f>
        <v>-0.28716566452415504</v>
      </c>
    </row>
    <row r="274" spans="2:14" x14ac:dyDescent="0.25">
      <c r="B274" s="119" t="s">
        <v>76</v>
      </c>
      <c r="C274" s="120">
        <v>6567</v>
      </c>
      <c r="D274" s="121">
        <v>0.12602880658436222</v>
      </c>
      <c r="E274" s="120">
        <v>368</v>
      </c>
      <c r="F274" s="121">
        <f t="shared" si="25"/>
        <v>-0.94396223541952184</v>
      </c>
      <c r="G274" s="120">
        <v>2552</v>
      </c>
      <c r="H274" s="121">
        <f t="shared" si="25"/>
        <v>5.9347826086956523</v>
      </c>
      <c r="I274" s="120">
        <v>3815</v>
      </c>
      <c r="J274" s="121">
        <f t="shared" si="25"/>
        <v>0.4949059561128526</v>
      </c>
      <c r="K274" s="120">
        <v>4132</v>
      </c>
      <c r="L274" s="121">
        <f t="shared" si="25"/>
        <v>8.3093053735255662E-2</v>
      </c>
      <c r="M274" s="120">
        <v>3336</v>
      </c>
      <c r="N274" s="121">
        <f t="shared" si="26"/>
        <v>-0.19264278799612777</v>
      </c>
    </row>
    <row r="275" spans="2:14" x14ac:dyDescent="0.25">
      <c r="B275" s="119" t="s">
        <v>78</v>
      </c>
      <c r="C275" s="120">
        <v>2282</v>
      </c>
      <c r="D275" s="121">
        <v>-0.72010302955967131</v>
      </c>
      <c r="E275" s="120">
        <v>468</v>
      </c>
      <c r="F275" s="121">
        <f t="shared" si="25"/>
        <v>-0.79491673970201582</v>
      </c>
      <c r="G275" s="120">
        <v>3147</v>
      </c>
      <c r="H275" s="121">
        <f t="shared" si="25"/>
        <v>5.7243589743589745</v>
      </c>
      <c r="I275" s="120">
        <v>3435</v>
      </c>
      <c r="J275" s="121">
        <f t="shared" si="25"/>
        <v>9.1515729265967627E-2</v>
      </c>
      <c r="K275" s="120">
        <v>4396</v>
      </c>
      <c r="L275" s="121">
        <f t="shared" si="25"/>
        <v>0.27976710334788946</v>
      </c>
      <c r="M275" s="120">
        <v>3137</v>
      </c>
      <c r="N275" s="121">
        <f t="shared" si="26"/>
        <v>-0.28639672429481344</v>
      </c>
    </row>
    <row r="276" spans="2:14" x14ac:dyDescent="0.25">
      <c r="B276" s="119" t="s">
        <v>80</v>
      </c>
      <c r="C276" s="120">
        <v>0</v>
      </c>
      <c r="D276" s="121">
        <v>-1</v>
      </c>
      <c r="E276" s="120">
        <v>92</v>
      </c>
      <c r="F276" s="121" t="str">
        <f t="shared" si="25"/>
        <v>-</v>
      </c>
      <c r="G276" s="120">
        <v>1598</v>
      </c>
      <c r="H276" s="121">
        <f t="shared" si="25"/>
        <v>16.369565217391305</v>
      </c>
      <c r="I276" s="120">
        <v>2079</v>
      </c>
      <c r="J276" s="121">
        <f t="shared" si="25"/>
        <v>0.30100125156445556</v>
      </c>
      <c r="K276" s="120">
        <v>1201</v>
      </c>
      <c r="L276" s="121">
        <f t="shared" si="25"/>
        <v>-0.42231842231842232</v>
      </c>
      <c r="M276" s="120">
        <v>1353</v>
      </c>
      <c r="N276" s="121">
        <f t="shared" si="26"/>
        <v>0.12656119900083262</v>
      </c>
    </row>
    <row r="277" spans="2:14" x14ac:dyDescent="0.25">
      <c r="B277" s="119" t="s">
        <v>82</v>
      </c>
      <c r="C277" s="120">
        <v>0</v>
      </c>
      <c r="D277" s="121">
        <v>-1</v>
      </c>
      <c r="E277" s="120">
        <v>20</v>
      </c>
      <c r="F277" s="121" t="str">
        <f t="shared" si="25"/>
        <v>-</v>
      </c>
      <c r="G277" s="120">
        <v>92</v>
      </c>
      <c r="H277" s="121">
        <f t="shared" si="25"/>
        <v>3.5999999999999996</v>
      </c>
      <c r="I277" s="120">
        <v>214</v>
      </c>
      <c r="J277" s="121">
        <f t="shared" si="25"/>
        <v>1.3260869565217392</v>
      </c>
      <c r="K277" s="120">
        <v>105</v>
      </c>
      <c r="L277" s="121">
        <f t="shared" si="25"/>
        <v>-0.50934579439252337</v>
      </c>
      <c r="M277" s="120">
        <v>129</v>
      </c>
      <c r="N277" s="121">
        <f t="shared" si="26"/>
        <v>0.22857142857142865</v>
      </c>
    </row>
    <row r="278" spans="2:14" x14ac:dyDescent="0.25">
      <c r="B278" s="119" t="s">
        <v>84</v>
      </c>
      <c r="C278" s="120">
        <v>0</v>
      </c>
      <c r="D278" s="121">
        <v>-1</v>
      </c>
      <c r="E278" s="120">
        <v>26</v>
      </c>
      <c r="F278" s="121" t="str">
        <f t="shared" si="25"/>
        <v>-</v>
      </c>
      <c r="G278" s="120">
        <v>149</v>
      </c>
      <c r="H278" s="121">
        <f t="shared" si="25"/>
        <v>4.7307692307692308</v>
      </c>
      <c r="I278" s="120">
        <v>259</v>
      </c>
      <c r="J278" s="121">
        <f t="shared" si="25"/>
        <v>0.73825503355704702</v>
      </c>
      <c r="K278" s="120">
        <v>120</v>
      </c>
      <c r="L278" s="121">
        <f t="shared" si="25"/>
        <v>-0.53667953667953672</v>
      </c>
      <c r="M278" s="120">
        <v>129</v>
      </c>
      <c r="N278" s="121">
        <f t="shared" si="26"/>
        <v>7.4999999999999956E-2</v>
      </c>
    </row>
    <row r="279" spans="2:14" x14ac:dyDescent="0.25">
      <c r="B279" s="119" t="s">
        <v>86</v>
      </c>
      <c r="C279" s="120">
        <v>0</v>
      </c>
      <c r="D279" s="121">
        <v>-1</v>
      </c>
      <c r="E279" s="120">
        <v>57</v>
      </c>
      <c r="F279" s="121" t="str">
        <f t="shared" si="25"/>
        <v>-</v>
      </c>
      <c r="G279" s="120">
        <v>162</v>
      </c>
      <c r="H279" s="121">
        <f t="shared" si="25"/>
        <v>1.8421052631578947</v>
      </c>
      <c r="I279" s="120">
        <v>231</v>
      </c>
      <c r="J279" s="121">
        <f t="shared" si="25"/>
        <v>0.42592592592592582</v>
      </c>
      <c r="K279" s="120">
        <v>114</v>
      </c>
      <c r="L279" s="121">
        <f t="shared" si="25"/>
        <v>-0.50649350649350655</v>
      </c>
      <c r="M279" s="120">
        <v>106</v>
      </c>
      <c r="N279" s="121">
        <f t="shared" si="26"/>
        <v>-7.0175438596491224E-2</v>
      </c>
    </row>
    <row r="280" spans="2:14" x14ac:dyDescent="0.25">
      <c r="B280" s="119" t="s">
        <v>88</v>
      </c>
      <c r="C280" s="120">
        <v>22</v>
      </c>
      <c r="D280" s="121">
        <v>-0.91538461538461535</v>
      </c>
      <c r="E280" s="120">
        <v>72</v>
      </c>
      <c r="F280" s="121">
        <f t="shared" si="25"/>
        <v>2.2727272727272729</v>
      </c>
      <c r="G280" s="120">
        <v>142</v>
      </c>
      <c r="H280" s="121">
        <f t="shared" si="25"/>
        <v>0.97222222222222232</v>
      </c>
      <c r="I280" s="120">
        <v>305</v>
      </c>
      <c r="J280" s="121">
        <f t="shared" si="25"/>
        <v>1.147887323943662</v>
      </c>
      <c r="K280" s="120">
        <v>52</v>
      </c>
      <c r="L280" s="121">
        <f t="shared" si="25"/>
        <v>-0.82950819672131149</v>
      </c>
      <c r="M280" s="120">
        <v>88</v>
      </c>
      <c r="N280" s="121">
        <f t="shared" si="26"/>
        <v>0.69230769230769229</v>
      </c>
    </row>
    <row r="281" spans="2:14" x14ac:dyDescent="0.25">
      <c r="B281" s="119" t="s">
        <v>90</v>
      </c>
      <c r="C281" s="120">
        <v>27</v>
      </c>
      <c r="D281" s="121">
        <v>-0.93266832917705733</v>
      </c>
      <c r="E281" s="120">
        <v>62</v>
      </c>
      <c r="F281" s="121">
        <f t="shared" si="25"/>
        <v>1.2962962962962963</v>
      </c>
      <c r="G281" s="120">
        <v>100</v>
      </c>
      <c r="H281" s="121">
        <f t="shared" si="25"/>
        <v>0.61290322580645151</v>
      </c>
      <c r="I281" s="120">
        <v>349</v>
      </c>
      <c r="J281" s="121">
        <f t="shared" si="25"/>
        <v>2.4900000000000002</v>
      </c>
      <c r="K281" s="120">
        <v>104</v>
      </c>
      <c r="L281" s="121">
        <f t="shared" si="25"/>
        <v>-0.70200573065902572</v>
      </c>
      <c r="M281" s="120">
        <v>144</v>
      </c>
      <c r="N281" s="121">
        <f t="shared" si="26"/>
        <v>0.38461538461538458</v>
      </c>
    </row>
    <row r="282" spans="2:14" x14ac:dyDescent="0.25">
      <c r="B282" s="119" t="s">
        <v>92</v>
      </c>
      <c r="C282" s="120">
        <v>360</v>
      </c>
      <c r="D282" s="121">
        <v>-0.90865262623699572</v>
      </c>
      <c r="E282" s="120">
        <v>1724</v>
      </c>
      <c r="F282" s="121">
        <f t="shared" si="25"/>
        <v>3.7888888888888888</v>
      </c>
      <c r="G282" s="120">
        <v>2278</v>
      </c>
      <c r="H282" s="121">
        <f t="shared" si="25"/>
        <v>0.32134570765661263</v>
      </c>
      <c r="I282" s="120">
        <v>2548</v>
      </c>
      <c r="J282" s="121">
        <f t="shared" si="25"/>
        <v>0.1185250219490781</v>
      </c>
      <c r="K282" s="120">
        <v>2132</v>
      </c>
      <c r="L282" s="121">
        <f t="shared" si="25"/>
        <v>-0.16326530612244894</v>
      </c>
      <c r="M282" s="120">
        <v>1810</v>
      </c>
      <c r="N282" s="121">
        <f t="shared" si="26"/>
        <v>-0.151031894934334</v>
      </c>
    </row>
    <row r="283" spans="2:14" x14ac:dyDescent="0.25">
      <c r="B283" s="119" t="s">
        <v>94</v>
      </c>
      <c r="C283" s="120">
        <v>536</v>
      </c>
      <c r="D283" s="121">
        <v>-0.91458167330677287</v>
      </c>
      <c r="E283" s="120">
        <v>3565</v>
      </c>
      <c r="F283" s="121">
        <f t="shared" si="25"/>
        <v>5.6511194029850742</v>
      </c>
      <c r="G283" s="120">
        <v>4563</v>
      </c>
      <c r="H283" s="121">
        <f t="shared" si="25"/>
        <v>0.2799438990182328</v>
      </c>
      <c r="I283" s="120">
        <v>4291</v>
      </c>
      <c r="J283" s="121">
        <f t="shared" si="25"/>
        <v>-5.9609905763751914E-2</v>
      </c>
      <c r="K283" s="120">
        <v>3388</v>
      </c>
      <c r="L283" s="121">
        <f t="shared" si="25"/>
        <v>-0.21044045676998369</v>
      </c>
      <c r="M283" s="120">
        <v>3248</v>
      </c>
      <c r="N283" s="121">
        <f t="shared" si="26"/>
        <v>-4.132231404958675E-2</v>
      </c>
    </row>
    <row r="284" spans="2:14" x14ac:dyDescent="0.25">
      <c r="B284" s="119" t="s">
        <v>96</v>
      </c>
      <c r="C284" s="120">
        <v>406</v>
      </c>
      <c r="D284" s="121">
        <v>-0.94389940583114551</v>
      </c>
      <c r="E284" s="120">
        <v>3467</v>
      </c>
      <c r="F284" s="121">
        <f t="shared" si="25"/>
        <v>7.5394088669950747</v>
      </c>
      <c r="G284" s="120">
        <v>3949</v>
      </c>
      <c r="H284" s="121">
        <f t="shared" si="25"/>
        <v>0.13902509374098648</v>
      </c>
      <c r="I284" s="120">
        <v>4580</v>
      </c>
      <c r="J284" s="121">
        <f t="shared" si="25"/>
        <v>0.15978728792099273</v>
      </c>
      <c r="K284" s="120">
        <v>4168</v>
      </c>
      <c r="L284" s="121">
        <f t="shared" si="25"/>
        <v>-8.9956331877729223E-2</v>
      </c>
      <c r="M284" s="120">
        <v>3370</v>
      </c>
      <c r="N284" s="121">
        <f t="shared" si="26"/>
        <v>-0.19145873320537432</v>
      </c>
    </row>
    <row r="285" spans="2:14" ht="15.75" x14ac:dyDescent="0.25">
      <c r="B285" s="122" t="s">
        <v>33</v>
      </c>
      <c r="C285" s="123">
        <v>16737</v>
      </c>
      <c r="D285" s="124">
        <v>-0.6062716130701733</v>
      </c>
      <c r="E285" s="123">
        <v>10472</v>
      </c>
      <c r="F285" s="124">
        <f t="shared" si="25"/>
        <v>-0.37432036804684232</v>
      </c>
      <c r="G285" s="123">
        <v>22560</v>
      </c>
      <c r="H285" s="124">
        <f t="shared" si="25"/>
        <v>1.1543162719633306</v>
      </c>
      <c r="I285" s="123">
        <v>26526</v>
      </c>
      <c r="J285" s="124">
        <f t="shared" si="25"/>
        <v>0.17579787234042543</v>
      </c>
      <c r="K285" s="123">
        <v>24735</v>
      </c>
      <c r="L285" s="124">
        <f t="shared" si="25"/>
        <v>-6.7518660936439767E-2</v>
      </c>
      <c r="M285" s="123">
        <v>20288</v>
      </c>
      <c r="N285" s="124">
        <v>-0.17978572872447951</v>
      </c>
    </row>
    <row r="286" spans="2:14" ht="6" customHeight="1" x14ac:dyDescent="0.25"/>
    <row r="287" spans="2:14" x14ac:dyDescent="0.25">
      <c r="B287" s="107" t="s">
        <v>58</v>
      </c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</row>
    <row r="288" spans="2:14" x14ac:dyDescent="0.25">
      <c r="C288" s="125"/>
      <c r="K288" s="125"/>
      <c r="N288" s="81"/>
    </row>
    <row r="290" spans="3:13" x14ac:dyDescent="0.25">
      <c r="C290" s="81"/>
      <c r="E290" s="81"/>
      <c r="G290" s="81"/>
      <c r="I290" s="81"/>
      <c r="K290" s="81"/>
      <c r="M290" s="81"/>
    </row>
  </sheetData>
  <mergeCells count="104">
    <mergeCell ref="B4:N4"/>
    <mergeCell ref="C6:N6"/>
    <mergeCell ref="C7:D7"/>
    <mergeCell ref="E7:F7"/>
    <mergeCell ref="G7:H7"/>
    <mergeCell ref="I7:J7"/>
    <mergeCell ref="K7:L7"/>
    <mergeCell ref="M7:N7"/>
    <mergeCell ref="B48:N48"/>
    <mergeCell ref="C50:N50"/>
    <mergeCell ref="C51:D51"/>
    <mergeCell ref="E51:F51"/>
    <mergeCell ref="G51:H51"/>
    <mergeCell ref="I51:J51"/>
    <mergeCell ref="K51:L51"/>
    <mergeCell ref="M51:N51"/>
    <mergeCell ref="B26:N26"/>
    <mergeCell ref="C28:N28"/>
    <mergeCell ref="C29:D29"/>
    <mergeCell ref="E29:F29"/>
    <mergeCell ref="G29:H29"/>
    <mergeCell ref="I29:J29"/>
    <mergeCell ref="K29:L29"/>
    <mergeCell ref="M29:N29"/>
    <mergeCell ref="B92:N92"/>
    <mergeCell ref="C94:N94"/>
    <mergeCell ref="C95:D95"/>
    <mergeCell ref="E95:F95"/>
    <mergeCell ref="G95:H95"/>
    <mergeCell ref="I95:J95"/>
    <mergeCell ref="K95:L95"/>
    <mergeCell ref="M95:N95"/>
    <mergeCell ref="B70:N70"/>
    <mergeCell ref="C72:N72"/>
    <mergeCell ref="C73:D73"/>
    <mergeCell ref="E73:F73"/>
    <mergeCell ref="G73:H73"/>
    <mergeCell ref="I73:J73"/>
    <mergeCell ref="K73:L73"/>
    <mergeCell ref="M73:N73"/>
    <mergeCell ref="B136:N136"/>
    <mergeCell ref="C138:N138"/>
    <mergeCell ref="C139:D139"/>
    <mergeCell ref="E139:F139"/>
    <mergeCell ref="G139:H139"/>
    <mergeCell ref="I139:J139"/>
    <mergeCell ref="K139:L139"/>
    <mergeCell ref="M139:N139"/>
    <mergeCell ref="B114:N114"/>
    <mergeCell ref="C116:N116"/>
    <mergeCell ref="C117:D117"/>
    <mergeCell ref="E117:F117"/>
    <mergeCell ref="G117:H117"/>
    <mergeCell ref="I117:J117"/>
    <mergeCell ref="K117:L117"/>
    <mergeCell ref="M117:N117"/>
    <mergeCell ref="B180:N180"/>
    <mergeCell ref="C182:N182"/>
    <mergeCell ref="C183:D183"/>
    <mergeCell ref="E183:F183"/>
    <mergeCell ref="G183:H183"/>
    <mergeCell ref="I183:J183"/>
    <mergeCell ref="K183:L183"/>
    <mergeCell ref="M183:N183"/>
    <mergeCell ref="B158:N158"/>
    <mergeCell ref="C160:N160"/>
    <mergeCell ref="C161:D161"/>
    <mergeCell ref="E161:F161"/>
    <mergeCell ref="G161:H161"/>
    <mergeCell ref="I161:J161"/>
    <mergeCell ref="K161:L161"/>
    <mergeCell ref="M161:N161"/>
    <mergeCell ref="B224:N224"/>
    <mergeCell ref="C226:N226"/>
    <mergeCell ref="C227:D227"/>
    <mergeCell ref="E227:F227"/>
    <mergeCell ref="G227:H227"/>
    <mergeCell ref="I227:J227"/>
    <mergeCell ref="K227:L227"/>
    <mergeCell ref="M227:N227"/>
    <mergeCell ref="B202:N202"/>
    <mergeCell ref="C204:N204"/>
    <mergeCell ref="C205:D205"/>
    <mergeCell ref="E205:F205"/>
    <mergeCell ref="G205:H205"/>
    <mergeCell ref="I205:J205"/>
    <mergeCell ref="K205:L205"/>
    <mergeCell ref="M205:N205"/>
    <mergeCell ref="B268:N268"/>
    <mergeCell ref="C270:N270"/>
    <mergeCell ref="C271:D271"/>
    <mergeCell ref="E271:F271"/>
    <mergeCell ref="G271:H271"/>
    <mergeCell ref="I271:J271"/>
    <mergeCell ref="K271:L271"/>
    <mergeCell ref="M271:N271"/>
    <mergeCell ref="B246:N246"/>
    <mergeCell ref="C248:N248"/>
    <mergeCell ref="C249:D249"/>
    <mergeCell ref="E249:F249"/>
    <mergeCell ref="G249:H249"/>
    <mergeCell ref="I249:J249"/>
    <mergeCell ref="K249:L249"/>
    <mergeCell ref="M249:N24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DF4E8-453C-44B3-A5BA-9DBF009657E6}">
  <sheetPr>
    <tabColor theme="7" tint="0.79998168889431442"/>
  </sheetPr>
  <dimension ref="A4:R25"/>
  <sheetViews>
    <sheetView showGridLines="0" zoomScaleNormal="100" workbookViewId="0">
      <selection activeCell="H9" sqref="H9"/>
    </sheetView>
  </sheetViews>
  <sheetFormatPr baseColWidth="10" defaultColWidth="11.42578125" defaultRowHeight="15" x14ac:dyDescent="0.25"/>
  <cols>
    <col min="1" max="1" width="15.28515625" customWidth="1"/>
    <col min="2" max="2" width="14.28515625" customWidth="1"/>
    <col min="17" max="17" width="13.5703125" bestFit="1" customWidth="1"/>
  </cols>
  <sheetData>
    <row r="4" spans="1:18" ht="48.75" customHeight="1" thickBot="1" x14ac:dyDescent="0.3">
      <c r="B4" s="283" t="s">
        <v>241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1" t="s">
        <v>69</v>
      </c>
    </row>
    <row r="5" spans="1:18" ht="10.5" customHeight="1" thickBot="1" x14ac:dyDescent="0.3">
      <c r="B5" s="108"/>
      <c r="C5" s="108"/>
      <c r="D5" s="108"/>
      <c r="E5" s="108"/>
      <c r="F5" s="108"/>
      <c r="G5" s="108"/>
      <c r="H5" s="108"/>
      <c r="I5" s="108"/>
      <c r="J5" s="109"/>
      <c r="K5" s="108"/>
      <c r="L5" s="108"/>
      <c r="M5" s="108"/>
      <c r="N5" s="108"/>
      <c r="O5" s="108"/>
      <c r="P5" s="4"/>
      <c r="Q5" s="4"/>
      <c r="R5" s="1" t="s">
        <v>70</v>
      </c>
    </row>
    <row r="6" spans="1:18" ht="22.5" thickTop="1" thickBot="1" x14ac:dyDescent="0.3">
      <c r="B6" s="110" t="s">
        <v>33</v>
      </c>
      <c r="C6" s="305" t="s">
        <v>135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</row>
    <row r="7" spans="1:18" ht="22.5" thickTop="1" thickBot="1" x14ac:dyDescent="0.3">
      <c r="B7" s="111"/>
      <c r="C7" s="112">
        <v>2018</v>
      </c>
      <c r="D7" s="307">
        <v>2019</v>
      </c>
      <c r="E7" s="308"/>
      <c r="F7" s="307">
        <v>2020</v>
      </c>
      <c r="G7" s="308"/>
      <c r="H7" s="307">
        <v>2021</v>
      </c>
      <c r="I7" s="308"/>
      <c r="J7" s="307">
        <v>2022</v>
      </c>
      <c r="K7" s="308"/>
      <c r="L7" s="309">
        <v>2023</v>
      </c>
      <c r="M7" s="308"/>
      <c r="N7" s="309">
        <v>2024</v>
      </c>
      <c r="O7" s="310"/>
      <c r="P7" s="309">
        <v>2025</v>
      </c>
      <c r="Q7" s="310"/>
    </row>
    <row r="8" spans="1:18" ht="16.5" thickTop="1" thickBot="1" x14ac:dyDescent="0.3">
      <c r="B8" s="87"/>
      <c r="C8" s="116" t="s">
        <v>72</v>
      </c>
      <c r="D8" s="116" t="s">
        <v>72</v>
      </c>
      <c r="E8" s="117" t="s">
        <v>136</v>
      </c>
      <c r="F8" s="116" t="s">
        <v>72</v>
      </c>
      <c r="G8" s="117" t="s">
        <v>137</v>
      </c>
      <c r="H8" s="116" t="s">
        <v>72</v>
      </c>
      <c r="I8" s="117" t="s">
        <v>138</v>
      </c>
      <c r="J8" s="116" t="s">
        <v>72</v>
      </c>
      <c r="K8" s="117" t="s">
        <v>139</v>
      </c>
      <c r="L8" s="118" t="s">
        <v>72</v>
      </c>
      <c r="M8" s="117" t="s">
        <v>253</v>
      </c>
      <c r="N8" s="118" t="s">
        <v>72</v>
      </c>
      <c r="O8" s="117" t="s">
        <v>254</v>
      </c>
      <c r="P8" s="118" t="s">
        <v>72</v>
      </c>
      <c r="Q8" s="117" t="s">
        <v>139</v>
      </c>
    </row>
    <row r="9" spans="1:18" x14ac:dyDescent="0.25">
      <c r="A9" s="1" t="s">
        <v>73</v>
      </c>
      <c r="B9" s="119" t="s">
        <v>74</v>
      </c>
      <c r="C9" s="120">
        <v>101786</v>
      </c>
      <c r="D9" s="120">
        <v>101909</v>
      </c>
      <c r="E9" s="121">
        <f t="shared" ref="E9:E21" si="0">D9/C9-1</f>
        <v>1.2084176605819952E-3</v>
      </c>
      <c r="F9" s="120">
        <v>102767</v>
      </c>
      <c r="G9" s="121">
        <f>F9/D9-1</f>
        <v>8.4192760207635331E-3</v>
      </c>
      <c r="H9" s="120">
        <v>8010</v>
      </c>
      <c r="I9" s="121">
        <f>IFERROR(H9/F9-1,"-")</f>
        <v>-0.92205669135033619</v>
      </c>
      <c r="J9" s="120">
        <v>72992</v>
      </c>
      <c r="K9" s="121">
        <f>IFERROR(J9/H9-1,"-")</f>
        <v>8.1126092384519346</v>
      </c>
      <c r="L9" s="120">
        <v>102127</v>
      </c>
      <c r="M9" s="121">
        <f t="shared" ref="M9:M21" si="1">IFERROR(L9/J9-1,"-")</f>
        <v>0.39915333187198598</v>
      </c>
      <c r="N9" s="120">
        <v>102133</v>
      </c>
      <c r="O9" s="121">
        <f>IFERROR(N9/L9-1,"-")</f>
        <v>5.8750379429595156E-5</v>
      </c>
      <c r="P9" s="120">
        <v>108758</v>
      </c>
      <c r="Q9" s="121">
        <f t="shared" ref="Q9:Q20" si="2">IFERROR(P9/N9-1,"-")</f>
        <v>6.4866399694516019E-2</v>
      </c>
    </row>
    <row r="10" spans="1:18" x14ac:dyDescent="0.25">
      <c r="A10" s="1" t="s">
        <v>75</v>
      </c>
      <c r="B10" s="119" t="s">
        <v>76</v>
      </c>
      <c r="C10" s="120">
        <v>98583</v>
      </c>
      <c r="D10" s="120">
        <v>100001</v>
      </c>
      <c r="E10" s="121">
        <f t="shared" si="0"/>
        <v>1.4383818711136698E-2</v>
      </c>
      <c r="F10" s="120">
        <v>105310</v>
      </c>
      <c r="G10" s="121">
        <f t="shared" ref="G10:G20" si="3">F10/D10-1</f>
        <v>5.3089469105308984E-2</v>
      </c>
      <c r="H10" s="120">
        <v>10131</v>
      </c>
      <c r="I10" s="121">
        <f t="shared" ref="I10:I21" si="4">IFERROR(H10/F10-1,"-")</f>
        <v>-0.90379830975216024</v>
      </c>
      <c r="J10" s="120">
        <v>88104</v>
      </c>
      <c r="K10" s="121">
        <f t="shared" ref="K10:K21" si="5">IFERROR(J10/H10-1,"-")</f>
        <v>7.6964761622742071</v>
      </c>
      <c r="L10" s="120">
        <v>102173</v>
      </c>
      <c r="M10" s="121">
        <f t="shared" si="1"/>
        <v>0.15968627985108519</v>
      </c>
      <c r="N10" s="120">
        <v>112246</v>
      </c>
      <c r="O10" s="121">
        <f t="shared" ref="O10:O21" si="6">IFERROR(N10/L10-1,"-")</f>
        <v>9.8587689507012577E-2</v>
      </c>
      <c r="P10" s="120">
        <v>115019</v>
      </c>
      <c r="Q10" s="121">
        <f t="shared" si="2"/>
        <v>2.4704666536001341E-2</v>
      </c>
    </row>
    <row r="11" spans="1:18" x14ac:dyDescent="0.25">
      <c r="A11" s="1" t="s">
        <v>77</v>
      </c>
      <c r="B11" s="119" t="s">
        <v>78</v>
      </c>
      <c r="C11" s="120">
        <v>116623</v>
      </c>
      <c r="D11" s="120">
        <v>119259</v>
      </c>
      <c r="E11" s="121">
        <f t="shared" si="0"/>
        <v>2.2602745599067164E-2</v>
      </c>
      <c r="F11" s="120">
        <v>41200</v>
      </c>
      <c r="G11" s="121">
        <f t="shared" si="3"/>
        <v>-0.65453341047635816</v>
      </c>
      <c r="H11" s="120">
        <v>12907</v>
      </c>
      <c r="I11" s="121">
        <f t="shared" si="4"/>
        <v>-0.68672330097087375</v>
      </c>
      <c r="J11" s="120">
        <v>104660</v>
      </c>
      <c r="K11" s="121">
        <f t="shared" si="5"/>
        <v>7.1087781823816538</v>
      </c>
      <c r="L11" s="120">
        <v>114283</v>
      </c>
      <c r="M11" s="121">
        <f t="shared" si="1"/>
        <v>9.1945346837378095E-2</v>
      </c>
      <c r="N11" s="120">
        <v>122937</v>
      </c>
      <c r="O11" s="121">
        <f t="shared" si="6"/>
        <v>7.5724298452088279E-2</v>
      </c>
      <c r="P11" s="120">
        <v>123198</v>
      </c>
      <c r="Q11" s="121">
        <f t="shared" si="2"/>
        <v>2.1230386295418846E-3</v>
      </c>
    </row>
    <row r="12" spans="1:18" x14ac:dyDescent="0.25">
      <c r="A12" s="1" t="s">
        <v>79</v>
      </c>
      <c r="B12" s="119" t="s">
        <v>80</v>
      </c>
      <c r="C12" s="120">
        <v>106007</v>
      </c>
      <c r="D12" s="120">
        <v>107270</v>
      </c>
      <c r="E12" s="121">
        <f t="shared" si="0"/>
        <v>1.1914307545728198E-2</v>
      </c>
      <c r="F12" s="120">
        <v>0</v>
      </c>
      <c r="G12" s="121">
        <f t="shared" si="3"/>
        <v>-1</v>
      </c>
      <c r="H12" s="120">
        <v>13736</v>
      </c>
      <c r="I12" s="121" t="str">
        <f t="shared" si="4"/>
        <v>-</v>
      </c>
      <c r="J12" s="120">
        <v>110839</v>
      </c>
      <c r="K12" s="121">
        <f t="shared" si="5"/>
        <v>7.0692341292952818</v>
      </c>
      <c r="L12" s="120">
        <v>112901</v>
      </c>
      <c r="M12" s="121">
        <f t="shared" si="1"/>
        <v>1.8603560118730877E-2</v>
      </c>
      <c r="N12" s="120">
        <v>113542</v>
      </c>
      <c r="O12" s="121">
        <f t="shared" si="6"/>
        <v>5.6775405000841772E-3</v>
      </c>
      <c r="P12" s="120">
        <v>115519</v>
      </c>
      <c r="Q12" s="121">
        <f t="shared" si="2"/>
        <v>1.7412058973771849E-2</v>
      </c>
    </row>
    <row r="13" spans="1:18" x14ac:dyDescent="0.25">
      <c r="A13" s="1" t="s">
        <v>81</v>
      </c>
      <c r="B13" s="119" t="s">
        <v>82</v>
      </c>
      <c r="C13" s="120">
        <v>102337</v>
      </c>
      <c r="D13" s="120">
        <v>104348</v>
      </c>
      <c r="E13" s="121">
        <f t="shared" si="0"/>
        <v>1.965076169909219E-2</v>
      </c>
      <c r="F13" s="120">
        <v>0</v>
      </c>
      <c r="G13" s="121">
        <f t="shared" si="3"/>
        <v>-1</v>
      </c>
      <c r="H13" s="120">
        <v>15428</v>
      </c>
      <c r="I13" s="121" t="str">
        <f t="shared" si="4"/>
        <v>-</v>
      </c>
      <c r="J13" s="120">
        <v>97379</v>
      </c>
      <c r="K13" s="121">
        <f t="shared" si="5"/>
        <v>5.3118356235416124</v>
      </c>
      <c r="L13" s="120">
        <v>96632</v>
      </c>
      <c r="M13" s="121">
        <f t="shared" si="1"/>
        <v>-7.671058441758527E-3</v>
      </c>
      <c r="N13" s="120">
        <v>110622</v>
      </c>
      <c r="O13" s="121">
        <f t="shared" si="6"/>
        <v>0.14477605762066403</v>
      </c>
      <c r="P13" s="120">
        <v>116586</v>
      </c>
      <c r="Q13" s="121">
        <f t="shared" si="2"/>
        <v>5.3913326463090439E-2</v>
      </c>
    </row>
    <row r="14" spans="1:18" x14ac:dyDescent="0.25">
      <c r="A14" s="1" t="s">
        <v>83</v>
      </c>
      <c r="B14" s="119" t="s">
        <v>84</v>
      </c>
      <c r="C14" s="120">
        <v>112631</v>
      </c>
      <c r="D14" s="120">
        <v>109110</v>
      </c>
      <c r="E14" s="121">
        <f t="shared" si="0"/>
        <v>-3.1261375642585132E-2</v>
      </c>
      <c r="F14" s="120">
        <v>0</v>
      </c>
      <c r="G14" s="121">
        <f t="shared" si="3"/>
        <v>-1</v>
      </c>
      <c r="H14" s="120">
        <v>21147</v>
      </c>
      <c r="I14" s="121" t="str">
        <f t="shared" si="4"/>
        <v>-</v>
      </c>
      <c r="J14" s="120">
        <v>99145</v>
      </c>
      <c r="K14" s="121">
        <f t="shared" si="5"/>
        <v>3.6883718730789239</v>
      </c>
      <c r="L14" s="120">
        <v>109784</v>
      </c>
      <c r="M14" s="121">
        <f t="shared" si="1"/>
        <v>0.1073074789449795</v>
      </c>
      <c r="N14" s="120">
        <v>113390</v>
      </c>
      <c r="O14" s="121">
        <f t="shared" si="6"/>
        <v>3.2846316403118747E-2</v>
      </c>
      <c r="P14" s="120">
        <v>117164</v>
      </c>
      <c r="Q14" s="121">
        <f t="shared" si="2"/>
        <v>3.3283358320839618E-2</v>
      </c>
    </row>
    <row r="15" spans="1:18" x14ac:dyDescent="0.25">
      <c r="A15" s="1" t="s">
        <v>85</v>
      </c>
      <c r="B15" s="119" t="s">
        <v>86</v>
      </c>
      <c r="C15" s="120">
        <v>114870</v>
      </c>
      <c r="D15" s="120">
        <v>112094</v>
      </c>
      <c r="E15" s="121">
        <f t="shared" si="0"/>
        <v>-2.4166449029337511E-2</v>
      </c>
      <c r="F15" s="120">
        <v>0</v>
      </c>
      <c r="G15" s="121">
        <f t="shared" si="3"/>
        <v>-1</v>
      </c>
      <c r="H15" s="120">
        <v>42074</v>
      </c>
      <c r="I15" s="121" t="str">
        <f t="shared" si="4"/>
        <v>-</v>
      </c>
      <c r="J15" s="120">
        <v>119732</v>
      </c>
      <c r="K15" s="121">
        <f t="shared" si="5"/>
        <v>1.8457479678661408</v>
      </c>
      <c r="L15" s="120">
        <v>113228</v>
      </c>
      <c r="M15" s="121">
        <f t="shared" si="1"/>
        <v>-5.4321317609327457E-2</v>
      </c>
      <c r="N15" s="120">
        <v>121148</v>
      </c>
      <c r="O15" s="121">
        <f t="shared" si="6"/>
        <v>6.9947362843113092E-2</v>
      </c>
      <c r="P15" s="120">
        <v>126014</v>
      </c>
      <c r="Q15" s="121">
        <f t="shared" si="2"/>
        <v>4.0165747680523056E-2</v>
      </c>
    </row>
    <row r="16" spans="1:18" x14ac:dyDescent="0.25">
      <c r="A16" s="1" t="s">
        <v>87</v>
      </c>
      <c r="B16" s="119" t="s">
        <v>88</v>
      </c>
      <c r="C16" s="120">
        <v>122415</v>
      </c>
      <c r="D16" s="120">
        <v>119564</v>
      </c>
      <c r="E16" s="121">
        <f t="shared" si="0"/>
        <v>-2.328962953886371E-2</v>
      </c>
      <c r="F16" s="120">
        <v>30803</v>
      </c>
      <c r="G16" s="121">
        <f t="shared" si="3"/>
        <v>-0.74237228597236626</v>
      </c>
      <c r="H16" s="120">
        <v>53067</v>
      </c>
      <c r="I16" s="121">
        <f t="shared" si="4"/>
        <v>0.72278674155114753</v>
      </c>
      <c r="J16" s="120">
        <v>117894</v>
      </c>
      <c r="K16" s="121">
        <f t="shared" si="5"/>
        <v>1.2216066481994461</v>
      </c>
      <c r="L16" s="120">
        <v>116797</v>
      </c>
      <c r="M16" s="121">
        <f t="shared" si="1"/>
        <v>-9.3049688703411571E-3</v>
      </c>
      <c r="N16" s="120">
        <v>126181</v>
      </c>
      <c r="O16" s="121">
        <f t="shared" si="6"/>
        <v>8.0344529397159192E-2</v>
      </c>
      <c r="P16" s="120">
        <v>123588</v>
      </c>
      <c r="Q16" s="121">
        <f t="shared" si="2"/>
        <v>-2.0549845063836836E-2</v>
      </c>
    </row>
    <row r="17" spans="1:17" x14ac:dyDescent="0.25">
      <c r="A17" s="1" t="s">
        <v>89</v>
      </c>
      <c r="B17" s="119" t="s">
        <v>90</v>
      </c>
      <c r="C17" s="120">
        <v>108542</v>
      </c>
      <c r="D17" s="120">
        <v>99309</v>
      </c>
      <c r="E17" s="121">
        <f t="shared" si="0"/>
        <v>-8.5063846253063291E-2</v>
      </c>
      <c r="F17" s="120">
        <v>18180</v>
      </c>
      <c r="G17" s="121">
        <f t="shared" si="3"/>
        <v>-0.81693502099507598</v>
      </c>
      <c r="H17" s="120">
        <v>59020</v>
      </c>
      <c r="I17" s="121">
        <f t="shared" si="4"/>
        <v>2.2464246424642464</v>
      </c>
      <c r="J17" s="120">
        <v>103298</v>
      </c>
      <c r="K17" s="121">
        <f t="shared" si="5"/>
        <v>0.7502202643171807</v>
      </c>
      <c r="L17" s="120">
        <v>107312</v>
      </c>
      <c r="M17" s="121">
        <f t="shared" si="1"/>
        <v>3.8858448372669274E-2</v>
      </c>
      <c r="N17" s="120">
        <v>111150</v>
      </c>
      <c r="O17" s="121">
        <f t="shared" si="6"/>
        <v>3.5764872521246494E-2</v>
      </c>
      <c r="P17" s="120">
        <v>115871</v>
      </c>
      <c r="Q17" s="121">
        <f t="shared" si="2"/>
        <v>4.2474134053081425E-2</v>
      </c>
    </row>
    <row r="18" spans="1:17" x14ac:dyDescent="0.25">
      <c r="A18" s="1" t="s">
        <v>91</v>
      </c>
      <c r="B18" s="119" t="s">
        <v>92</v>
      </c>
      <c r="C18" s="120">
        <v>122073</v>
      </c>
      <c r="D18" s="120">
        <v>109838</v>
      </c>
      <c r="E18" s="121">
        <f t="shared" si="0"/>
        <v>-0.10022691340427448</v>
      </c>
      <c r="F18" s="120">
        <v>21674</v>
      </c>
      <c r="G18" s="121">
        <f t="shared" si="3"/>
        <v>-0.80267302754966408</v>
      </c>
      <c r="H18" s="120">
        <v>89457</v>
      </c>
      <c r="I18" s="121">
        <f t="shared" si="4"/>
        <v>3.127387653409615</v>
      </c>
      <c r="J18" s="120">
        <v>113209</v>
      </c>
      <c r="K18" s="121">
        <f t="shared" si="5"/>
        <v>0.26551303978447738</v>
      </c>
      <c r="L18" s="120">
        <v>119521</v>
      </c>
      <c r="M18" s="121">
        <f t="shared" si="1"/>
        <v>5.5755284473849143E-2</v>
      </c>
      <c r="N18" s="120">
        <v>125080</v>
      </c>
      <c r="O18" s="121">
        <f t="shared" si="6"/>
        <v>4.6510655031333448E-2</v>
      </c>
      <c r="P18" s="120">
        <v>130415</v>
      </c>
      <c r="Q18" s="121">
        <f t="shared" si="2"/>
        <v>4.2652702270546961E-2</v>
      </c>
    </row>
    <row r="19" spans="1:17" x14ac:dyDescent="0.25">
      <c r="A19" s="1" t="s">
        <v>93</v>
      </c>
      <c r="B19" s="119" t="s">
        <v>94</v>
      </c>
      <c r="C19" s="120">
        <v>106067</v>
      </c>
      <c r="D19" s="120">
        <v>107365</v>
      </c>
      <c r="E19" s="121">
        <f t="shared" si="0"/>
        <v>1.2237547964965456E-2</v>
      </c>
      <c r="F19" s="120">
        <v>16498</v>
      </c>
      <c r="G19" s="121">
        <f t="shared" si="3"/>
        <v>-0.8463372607460532</v>
      </c>
      <c r="H19" s="120">
        <v>88426</v>
      </c>
      <c r="I19" s="121">
        <f t="shared" si="4"/>
        <v>4.3598011880227903</v>
      </c>
      <c r="J19" s="120">
        <v>107366</v>
      </c>
      <c r="K19" s="121">
        <f t="shared" si="5"/>
        <v>0.21419039648972027</v>
      </c>
      <c r="L19" s="120">
        <v>113999</v>
      </c>
      <c r="M19" s="121">
        <f t="shared" si="1"/>
        <v>6.1779334239889794E-2</v>
      </c>
      <c r="N19" s="120">
        <v>113916</v>
      </c>
      <c r="O19" s="121">
        <f t="shared" si="6"/>
        <v>-7.280765620750751E-4</v>
      </c>
      <c r="P19" s="120">
        <v>118687</v>
      </c>
      <c r="Q19" s="121">
        <f t="shared" si="2"/>
        <v>4.1881737420555565E-2</v>
      </c>
    </row>
    <row r="20" spans="1:17" x14ac:dyDescent="0.25">
      <c r="A20" s="1" t="s">
        <v>95</v>
      </c>
      <c r="B20" s="119" t="s">
        <v>96</v>
      </c>
      <c r="C20" s="120">
        <v>110884</v>
      </c>
      <c r="D20" s="120">
        <v>109344</v>
      </c>
      <c r="E20" s="121">
        <f t="shared" si="0"/>
        <v>-1.3888387864795626E-2</v>
      </c>
      <c r="F20" s="120">
        <v>17398</v>
      </c>
      <c r="G20" s="121">
        <f t="shared" si="3"/>
        <v>-0.84088747439274214</v>
      </c>
      <c r="H20" s="120">
        <v>78855</v>
      </c>
      <c r="I20" s="121">
        <f t="shared" si="4"/>
        <v>3.5324175192550866</v>
      </c>
      <c r="J20" s="120">
        <v>108917</v>
      </c>
      <c r="K20" s="121">
        <f t="shared" si="5"/>
        <v>0.38123137404096119</v>
      </c>
      <c r="L20" s="120">
        <v>111619</v>
      </c>
      <c r="M20" s="121">
        <f t="shared" si="1"/>
        <v>2.4807881230661799E-2</v>
      </c>
      <c r="N20" s="120">
        <v>115450</v>
      </c>
      <c r="O20" s="121">
        <f t="shared" si="6"/>
        <v>3.4322113618649119E-2</v>
      </c>
      <c r="P20" s="120">
        <v>110730</v>
      </c>
      <c r="Q20" s="121">
        <f t="shared" si="2"/>
        <v>-4.0883499350368169E-2</v>
      </c>
    </row>
    <row r="21" spans="1:17" ht="15.75" x14ac:dyDescent="0.25">
      <c r="A21" s="1" t="s">
        <v>0</v>
      </c>
      <c r="B21" s="122" t="s">
        <v>33</v>
      </c>
      <c r="C21" s="123">
        <v>1322818</v>
      </c>
      <c r="D21" s="123">
        <v>1299411</v>
      </c>
      <c r="E21" s="124">
        <f t="shared" si="0"/>
        <v>-1.7694800040519598E-2</v>
      </c>
      <c r="F21" s="123">
        <v>375345</v>
      </c>
      <c r="G21" s="124">
        <f>F21/D21-1</f>
        <v>-0.71114220212080703</v>
      </c>
      <c r="H21" s="123">
        <v>492258</v>
      </c>
      <c r="I21" s="124">
        <f t="shared" si="4"/>
        <v>0.31148143707788845</v>
      </c>
      <c r="J21" s="123">
        <v>1243535</v>
      </c>
      <c r="K21" s="124">
        <f t="shared" si="5"/>
        <v>1.5261854555944239</v>
      </c>
      <c r="L21" s="123">
        <v>1320376</v>
      </c>
      <c r="M21" s="124">
        <f t="shared" si="1"/>
        <v>6.1792390242333406E-2</v>
      </c>
      <c r="N21" s="123">
        <v>1387795</v>
      </c>
      <c r="O21" s="124">
        <f t="shared" si="6"/>
        <v>5.10604555066132E-2</v>
      </c>
      <c r="P21" s="123">
        <v>1421549</v>
      </c>
      <c r="Q21" s="124">
        <v>2.4322036035581585E-2</v>
      </c>
    </row>
    <row r="22" spans="1:17" ht="6" customHeight="1" x14ac:dyDescent="0.25"/>
    <row r="23" spans="1:17" x14ac:dyDescent="0.25">
      <c r="B23" s="107" t="s">
        <v>58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20"/>
      <c r="Q23" s="107"/>
    </row>
    <row r="25" spans="1:17" x14ac:dyDescent="0.25">
      <c r="B25" t="s">
        <v>12</v>
      </c>
    </row>
  </sheetData>
  <mergeCells count="9">
    <mergeCell ref="B4:Q4"/>
    <mergeCell ref="C6:Q6"/>
    <mergeCell ref="D7:E7"/>
    <mergeCell ref="F7:G7"/>
    <mergeCell ref="H7:I7"/>
    <mergeCell ref="J7:K7"/>
    <mergeCell ref="L7:M7"/>
    <mergeCell ref="N7:O7"/>
    <mergeCell ref="P7:Q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Props1.xml><?xml version="1.0" encoding="utf-8"?>
<ds:datastoreItem xmlns:ds="http://schemas.openxmlformats.org/officeDocument/2006/customXml" ds:itemID="{E30EA957-4B1D-4CFB-A3E7-E6420ED00E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f571-e864-4b98-84bd-930f661ed42a"/>
    <ds:schemaRef ds:uri="8c9163ab-4d1c-46a7-8d61-b5cee27b7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3EB4AC-2A41-4C8E-829D-73AD838A13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BC1A5-7523-4F53-8007-DFECD02CA404}">
  <ds:schemaRefs>
    <ds:schemaRef ds:uri="http://schemas.microsoft.com/office/2006/metadata/properties"/>
    <ds:schemaRef ds:uri="http://schemas.microsoft.com/office/infopath/2007/PartnerControls"/>
    <ds:schemaRef ds:uri="9b82f571-e864-4b98-84bd-930f661ed42a"/>
    <ds:schemaRef ds:uri="8c9163ab-4d1c-46a7-8d61-b5cee27b74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50</vt:i4>
      </vt:variant>
      <vt:variant>
        <vt:lpstr>Rangos con nombre</vt:lpstr>
      </vt:variant>
      <vt:variant>
        <vt:i4>18</vt:i4>
      </vt:variant>
    </vt:vector>
  </HeadingPairs>
  <TitlesOfParts>
    <vt:vector size="68" baseType="lpstr">
      <vt:lpstr>Menú principal</vt:lpstr>
      <vt:lpstr>Resumen indicadores (aloj)</vt:lpstr>
      <vt:lpstr>Resumen indicadores municipios </vt:lpstr>
      <vt:lpstr>Oferta alojativa</vt:lpstr>
      <vt:lpstr>Plazas aloj islas cat y tipolog</vt:lpstr>
      <vt:lpstr>Establecim aloj islas cat y tip</vt:lpstr>
      <vt:lpstr>viajeros entrados</vt:lpstr>
      <vt:lpstr>Viajeros entr evol mensu TF</vt:lpstr>
      <vt:lpstr>Viajeros entr evol mensu TF15-2</vt:lpstr>
      <vt:lpstr>Viajeros entr evol mensu TF cat</vt:lpstr>
      <vt:lpstr>Viajeros entr evol anual TF cat</vt:lpstr>
      <vt:lpstr>Viajeros entr ti-cat ultimo mes</vt:lpstr>
      <vt:lpstr>viaj entrados lugar resid años </vt:lpstr>
      <vt:lpstr>viaj entrados lugar residencia</vt:lpstr>
      <vt:lpstr>viaj entrados lugar residen acu</vt:lpstr>
      <vt:lpstr>viaj entrados lugar residen hot</vt:lpstr>
      <vt:lpstr>viaj entrados lugar residen apt</vt:lpstr>
      <vt:lpstr>viaj entrados lugar residen cat</vt:lpstr>
      <vt:lpstr>viaj entr lugar res año categor</vt:lpstr>
      <vt:lpstr>viajeros alojados</vt:lpstr>
      <vt:lpstr>viaj aloj lugar residen mes</vt:lpstr>
      <vt:lpstr>viaj alojados lugar residen acu</vt:lpstr>
      <vt:lpstr>viaj aloj lugar resid año</vt:lpstr>
      <vt:lpstr>Viajeros aloj evol anual TF</vt:lpstr>
      <vt:lpstr>Pernoctaciones</vt:lpstr>
      <vt:lpstr>Pernoctaciones evol mensu TF</vt:lpstr>
      <vt:lpstr>Pernocta evol mensu TF cat</vt:lpstr>
      <vt:lpstr>Pernoctaciones lugar reside</vt:lpstr>
      <vt:lpstr>Pernoctaciones lugar residen ac</vt:lpstr>
      <vt:lpstr>Pernoctaciones lugar reside año</vt:lpstr>
      <vt:lpstr>Estancia media</vt:lpstr>
      <vt:lpstr>EM evol menusual lugar resd</vt:lpstr>
      <vt:lpstr>EM evol mensu TF cat </vt:lpstr>
      <vt:lpstr>Tasa de ocupación</vt:lpstr>
      <vt:lpstr>tasa de ocupación evol mens</vt:lpstr>
      <vt:lpstr>indicadores rentabilidad</vt:lpstr>
      <vt:lpstr>ADR RevPAR ingresos totales ult</vt:lpstr>
      <vt:lpstr>ADR municipios</vt:lpstr>
      <vt:lpstr>RevPAR  municipios</vt:lpstr>
      <vt:lpstr>viajeros españoles</vt:lpstr>
      <vt:lpstr>distribución españoles x Resid</vt:lpstr>
      <vt:lpstr>distribución españoles x cate</vt:lpstr>
      <vt:lpstr>distribución peninsulare x cate</vt:lpstr>
      <vt:lpstr>distribución canarios x cate</vt:lpstr>
      <vt:lpstr>distribución españoles x mun al</vt:lpstr>
      <vt:lpstr>distribución peninsula x munici</vt:lpstr>
      <vt:lpstr>distribución canarias x munici</vt:lpstr>
      <vt:lpstr>evolución anual viaj ent españo</vt:lpstr>
      <vt:lpstr>evolución anual viaj ent penins</vt:lpstr>
      <vt:lpstr>evolución anual viaj ent canari</vt:lpstr>
      <vt:lpstr>'distribución canarias x munici'!Área_de_impresión</vt:lpstr>
      <vt:lpstr>'distribución canarios x cate'!Área_de_impresión</vt:lpstr>
      <vt:lpstr>'distribución españoles x cate'!Área_de_impresión</vt:lpstr>
      <vt:lpstr>'distribución españoles x mun al'!Área_de_impresión</vt:lpstr>
      <vt:lpstr>'distribución españoles x Resid'!Área_de_impresión</vt:lpstr>
      <vt:lpstr>'distribución peninsula x munici'!Área_de_impresión</vt:lpstr>
      <vt:lpstr>'distribución peninsulare x cate'!Área_de_impresión</vt:lpstr>
      <vt:lpstr>'Pernoctaciones lugar reside'!Área_de_impresión</vt:lpstr>
      <vt:lpstr>'Pernoctaciones lugar reside año'!Área_de_impresión</vt:lpstr>
      <vt:lpstr>'Pernoctaciones lugar residen ac'!Área_de_impresión</vt:lpstr>
      <vt:lpstr>'viaj aloj lugar resid año'!Área_de_impresión</vt:lpstr>
      <vt:lpstr>'viaj alojados lugar residen acu'!Área_de_impresión</vt:lpstr>
      <vt:lpstr>'viaj entr lugar res año categor'!Área_de_impresión</vt:lpstr>
      <vt:lpstr>'viaj entrados lugar resid años '!Área_de_impresión</vt:lpstr>
      <vt:lpstr>'viaj entrados lugar residen acu'!Área_de_impresión</vt:lpstr>
      <vt:lpstr>'viaj entrados lugar residen apt'!Área_de_impresión</vt:lpstr>
      <vt:lpstr>'viaj entrados lugar residen cat'!Área_de_impresión</vt:lpstr>
      <vt:lpstr>'viaj entrados lugar residen hot'!Área_de_impresión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González Pérez</dc:creator>
  <cp:lastModifiedBy>Omaira González Pérez</cp:lastModifiedBy>
  <dcterms:created xsi:type="dcterms:W3CDTF">2026-01-26T10:16:55Z</dcterms:created>
  <dcterms:modified xsi:type="dcterms:W3CDTF">2026-01-26T10:20:34Z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0x010100F969C42FB1FA284BA60CDF94DEB4DBF3</vt:lpwstr>
  </property>
  <property fmtid="{D5CDD505-2E9C-101B-9397-08002B2CF9AE}" pid="3" name="MediaServiceImageTags">
    <vt:lpwstr/>
  </property>
</Properties>
</file>